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/>
  <workbookProtection workbookPassword="CBFD" lockStructure="1"/>
  <bookViews>
    <workbookView xWindow="210" yWindow="195" windowWidth="18240" windowHeight="10410" tabRatio="801"/>
  </bookViews>
  <sheets>
    <sheet name="Cover Page" sheetId="64" r:id="rId1"/>
    <sheet name="Contents" sheetId="65" r:id="rId2"/>
    <sheet name="Pg 3 Highlights" sheetId="73" r:id="rId3"/>
    <sheet name="Pg 4 Earnings" sheetId="54" r:id="rId4"/>
    <sheet name="Pg 5 Earnings Per Share" sheetId="83" r:id="rId5"/>
    <sheet name="Pg 6 P&amp;C_UW" sheetId="84" r:id="rId6"/>
    <sheet name="Pg 7 P&amp;C_Specialty_UW" sheetId="4" r:id="rId7"/>
    <sheet name="Pg 8 P&amp;C_P&amp;T_UW" sheetId="56" r:id="rId8"/>
    <sheet name="Pg 9 P&amp;C_SC_UW" sheetId="70" r:id="rId9"/>
    <sheet name="Pg 10 P&amp;C_SF_UW" sheetId="71" r:id="rId10"/>
    <sheet name="Pg 11 P&amp;C_Spec_Other_UW" sheetId="72" r:id="rId11"/>
    <sheet name="Pg 12 Annuity Results" sheetId="74" r:id="rId12"/>
    <sheet name="Module1" sheetId="24" state="veryHidden" r:id=""/>
    <sheet name="Pg 13 Annuity Benefit Expense" sheetId="90" r:id="rId13"/>
    <sheet name="Pg 14 Annuity_Spread" sheetId="76" r:id="rId14"/>
    <sheet name="Pg 15 Annuity STAT Premiums" sheetId="45" r:id="rId15"/>
    <sheet name="Pg 16 Annuity_Benefits_Accum" sheetId="77" r:id="rId16"/>
    <sheet name="Pg 17 Balance Sheet" sheetId="55" r:id="rId17"/>
    <sheet name="Pg 18 Book Value" sheetId="67" r:id="rId18"/>
    <sheet name="Pg 19 Capitalization" sheetId="69" r:id="rId19"/>
    <sheet name="Pg 20 Additional Supp Data" sheetId="89" r:id="rId20"/>
    <sheet name="Pg 21 Inv_Schedule" sheetId="44" r:id="rId21"/>
    <sheet name="Pg 22 Inv_FM_Cons" sheetId="82" r:id="rId22"/>
    <sheet name="Pg 23 Inv_FM_Segment" sheetId="57" r:id="rId23"/>
    <sheet name="Pg 24 FM NAIC des and Rating" sheetId="85" r:id="rId24"/>
    <sheet name="Pg 25 Inv_MBS_Cons" sheetId="79" r:id="rId25"/>
    <sheet name="Pg 26 Inv_MBS_Segment" sheetId="58" r:id="rId26"/>
    <sheet name="Pg 27 MBS NAIC des and Rating" sheetId="59" r:id="rId27"/>
    <sheet name="Sheet1" sheetId="91" r:id="rId28"/>
  </sheets>
  <definedNames>
    <definedName name="Annuity_Benefit_Expense">'Pg 13 Annuity Benefit Expense'!$A$1</definedName>
    <definedName name="Annuity_Benifits_Accum">'Pg 16 Annuity_Benefits_Accum'!$A$1</definedName>
    <definedName name="Annuity_Results" localSheetId="13">'Pg 13 Annuity Benefit Expense'!$A$1</definedName>
    <definedName name="Annuity_Results">'Pg 12 Annuity Results'!$A$1</definedName>
    <definedName name="Annuity_Spread">'Pg 14 Annuity_Spread'!$A$1</definedName>
    <definedName name="Annuity_STAT_Prem">'Pg 15 Annuity STAT Premiums'!$A$1</definedName>
    <definedName name="Balance_Sheet">'Pg 17 Balance Sheet'!$A$1</definedName>
    <definedName name="Book_Value">'Pg 18 Book Value'!$A$1</definedName>
    <definedName name="Capitalization" localSheetId="20">'Pg 20 Additional Supp Data'!$A$1</definedName>
    <definedName name="Capitalization">'Pg 19 Capitalization'!$A$1</definedName>
    <definedName name="Earnings_Per_Share">'Pg 5 Earnings Per Share'!$A$1</definedName>
    <definedName name="FM_Rating_Designation">'Pg 24 FM NAIC des and Rating'!$A$1</definedName>
    <definedName name="Highlights">'Pg 3 Highlights'!$A$1</definedName>
    <definedName name="Inv_by_Seg">'Pg 21 Inv_Schedule'!$A$1</definedName>
    <definedName name="Inv_FM_Cons">'Pg 22 Inv_FM_Cons'!$A$1</definedName>
    <definedName name="Inv_FM_Segment">'Pg 23 Inv_FM_Segment'!$A$1</definedName>
    <definedName name="Inv_MBS_Cons">'Pg 25 Inv_MBS_Cons'!$A$1</definedName>
    <definedName name="Inv_MBS_Rating">'Pg 27 MBS NAIC des and Rating'!$A$1</definedName>
    <definedName name="Inv_MBS_Segment">'Pg 26 Inv_MBS_Segment'!$A$1</definedName>
    <definedName name="MBS_Cons_Port">'Pg 25 Inv_MBS_Cons'!$A$1</definedName>
    <definedName name="PC_OTHER_UW">'Pg 11 P&amp;C_Spec_Other_UW'!$A$1</definedName>
    <definedName name="PC_PT_UW">'Pg 8 P&amp;C_P&amp;T_UW'!$A$1</definedName>
    <definedName name="PC_SC_UW">'Pg 9 P&amp;C_SC_UW'!$A$1</definedName>
    <definedName name="PC_SF_UW">'Pg 10 P&amp;C_SF_UW'!$A$1</definedName>
    <definedName name="PC_Specialty_UW">'Pg 7 P&amp;C_Specialty_UW'!$A$1</definedName>
    <definedName name="PC_UW">'Pg 6 P&amp;C_UW'!$A$1</definedName>
    <definedName name="_xlnm.Print_Area" localSheetId="18">'Pg 18 Book Value'!$A$1:$K$36</definedName>
    <definedName name="Summary_of_Earnings" localSheetId="4">'Pg 5 Earnings Per Share'!$A$1</definedName>
    <definedName name="Summary_of_Earnings">'Pg 4 Earnings'!$A$1</definedName>
  </definedNames>
  <calcPr calcId="145621"/>
</workbook>
</file>

<file path=xl/calcChain.xml><?xml version="1.0" encoding="utf-8"?>
<calcChain xmlns="http://schemas.openxmlformats.org/spreadsheetml/2006/main">
  <c r="C32" i="54" l="1"/>
  <c r="E32" i="58" l="1"/>
  <c r="E30" i="58"/>
  <c r="C36" i="85"/>
  <c r="E17" i="59" l="1"/>
  <c r="E11" i="59"/>
  <c r="E17" i="58"/>
  <c r="E15" i="58"/>
  <c r="E14" i="58"/>
  <c r="E15" i="79"/>
  <c r="E19" i="85"/>
  <c r="E14" i="85"/>
  <c r="E13" i="85"/>
  <c r="E10" i="85"/>
  <c r="E29" i="57"/>
  <c r="S25" i="83" l="1"/>
  <c r="R25" i="83"/>
  <c r="Q25" i="83"/>
  <c r="O25" i="83"/>
  <c r="N25" i="83"/>
  <c r="L25" i="83"/>
  <c r="K25" i="83"/>
  <c r="I25" i="83"/>
  <c r="H25" i="83"/>
  <c r="G25" i="83"/>
  <c r="F25" i="83"/>
  <c r="E25" i="83"/>
  <c r="D25" i="83"/>
  <c r="C25" i="83"/>
  <c r="B25" i="83"/>
  <c r="H31" i="54"/>
  <c r="G31" i="54"/>
  <c r="F31" i="54"/>
  <c r="D31" i="54"/>
  <c r="C31" i="54"/>
  <c r="B31" i="54"/>
  <c r="D29" i="67" l="1"/>
  <c r="E12" i="57"/>
  <c r="K37" i="70"/>
  <c r="H25" i="54"/>
  <c r="G25" i="54"/>
  <c r="F25" i="54"/>
  <c r="D25" i="54"/>
  <c r="C25" i="54"/>
  <c r="B25" i="54"/>
  <c r="B30" i="54"/>
  <c r="C30" i="54"/>
  <c r="D30" i="54"/>
  <c r="F30" i="54"/>
  <c r="G30" i="54"/>
  <c r="H30" i="54"/>
  <c r="E38" i="76"/>
  <c r="B30" i="85"/>
  <c r="B36" i="85"/>
  <c r="C14" i="59"/>
  <c r="C19" i="59" s="1"/>
  <c r="B17" i="44"/>
  <c r="F28" i="58" s="1"/>
  <c r="C30" i="58"/>
  <c r="C32" i="58" s="1"/>
  <c r="C15" i="58"/>
  <c r="C17" i="58" s="1"/>
  <c r="F10" i="44"/>
  <c r="F11" i="44"/>
  <c r="F12" i="44"/>
  <c r="F13" i="44"/>
  <c r="F14" i="44"/>
  <c r="F15" i="44"/>
  <c r="F16" i="44"/>
  <c r="F17" i="44"/>
  <c r="F22" i="82" s="1"/>
  <c r="C13" i="79"/>
  <c r="C15" i="79"/>
  <c r="E10" i="79" s="1"/>
  <c r="E9" i="79"/>
  <c r="E11" i="79"/>
  <c r="E12" i="79"/>
  <c r="C14" i="85"/>
  <c r="C19" i="85" s="1"/>
  <c r="C15" i="57"/>
  <c r="E13" i="57" s="1"/>
  <c r="D44" i="44"/>
  <c r="D43" i="44"/>
  <c r="D42" i="44"/>
  <c r="D19" i="82"/>
  <c r="D18" i="82"/>
  <c r="D17" i="82"/>
  <c r="D16" i="82"/>
  <c r="D15" i="82"/>
  <c r="D13" i="82"/>
  <c r="D12" i="82"/>
  <c r="D11" i="82"/>
  <c r="D10" i="82"/>
  <c r="D9" i="82"/>
  <c r="D8" i="82"/>
  <c r="E29" i="67"/>
  <c r="E40" i="76"/>
  <c r="R26" i="89"/>
  <c r="N26" i="89"/>
  <c r="K26" i="89"/>
  <c r="I26" i="89"/>
  <c r="H26" i="89"/>
  <c r="G26" i="89"/>
  <c r="F26" i="89"/>
  <c r="E39" i="55"/>
  <c r="E29" i="55"/>
  <c r="E17" i="55"/>
  <c r="D39" i="55"/>
  <c r="D29" i="55"/>
  <c r="D42" i="55"/>
  <c r="D17" i="55"/>
  <c r="C39" i="55"/>
  <c r="C29" i="55"/>
  <c r="C17" i="55"/>
  <c r="F17" i="55"/>
  <c r="G17" i="55"/>
  <c r="H17" i="55"/>
  <c r="I17" i="55"/>
  <c r="J17" i="55"/>
  <c r="F29" i="55"/>
  <c r="G29" i="55"/>
  <c r="H29" i="55"/>
  <c r="H42" i="55"/>
  <c r="I29" i="55"/>
  <c r="J29" i="55"/>
  <c r="F39" i="55"/>
  <c r="G39" i="55"/>
  <c r="G42" i="55"/>
  <c r="H39" i="55"/>
  <c r="I39" i="55"/>
  <c r="J39" i="55"/>
  <c r="F42" i="55"/>
  <c r="I42" i="55"/>
  <c r="J42" i="55"/>
  <c r="Q26" i="77"/>
  <c r="C22" i="77"/>
  <c r="C21" i="77"/>
  <c r="R13" i="45"/>
  <c r="S13" i="45"/>
  <c r="R16" i="45"/>
  <c r="S16" i="45"/>
  <c r="O13" i="45"/>
  <c r="O16" i="45"/>
  <c r="L13" i="45"/>
  <c r="L16" i="45"/>
  <c r="I13" i="45"/>
  <c r="I16" i="45"/>
  <c r="S40" i="76"/>
  <c r="S38" i="76"/>
  <c r="R40" i="76"/>
  <c r="R38" i="76"/>
  <c r="L40" i="76"/>
  <c r="L38" i="76"/>
  <c r="I40" i="76"/>
  <c r="H40" i="76"/>
  <c r="G40" i="76"/>
  <c r="F40" i="76"/>
  <c r="I38" i="76"/>
  <c r="H38" i="76"/>
  <c r="G38" i="76"/>
  <c r="F38" i="76"/>
  <c r="B40" i="76"/>
  <c r="B38" i="76"/>
  <c r="R31" i="76"/>
  <c r="O31" i="76"/>
  <c r="I31" i="76"/>
  <c r="Q27" i="76"/>
  <c r="S27" i="76"/>
  <c r="O27" i="76"/>
  <c r="G27" i="76"/>
  <c r="R23" i="76"/>
  <c r="S23" i="76"/>
  <c r="O23" i="76"/>
  <c r="L23" i="76"/>
  <c r="I23" i="76"/>
  <c r="H23" i="76"/>
  <c r="G23" i="76"/>
  <c r="F23" i="76"/>
  <c r="R15" i="76"/>
  <c r="S15" i="76"/>
  <c r="O15" i="76"/>
  <c r="L15" i="76"/>
  <c r="I15" i="76"/>
  <c r="H15" i="76"/>
  <c r="G15" i="76"/>
  <c r="F15" i="76"/>
  <c r="H10" i="76"/>
  <c r="G10" i="76"/>
  <c r="F10" i="76"/>
  <c r="R10" i="76"/>
  <c r="S10" i="76"/>
  <c r="O10" i="76"/>
  <c r="L10" i="76"/>
  <c r="I10" i="76"/>
  <c r="E10" i="76"/>
  <c r="R17" i="90"/>
  <c r="S17" i="90"/>
  <c r="S23" i="90"/>
  <c r="R21" i="90"/>
  <c r="R23" i="90"/>
  <c r="S21" i="90"/>
  <c r="O21" i="90"/>
  <c r="O17" i="90"/>
  <c r="O23" i="90"/>
  <c r="L21" i="90"/>
  <c r="L17" i="90"/>
  <c r="L23" i="90"/>
  <c r="I21" i="90"/>
  <c r="I17" i="90"/>
  <c r="I23" i="90"/>
  <c r="R12" i="74"/>
  <c r="S12" i="74"/>
  <c r="R18" i="74"/>
  <c r="R20" i="74"/>
  <c r="R24" i="74"/>
  <c r="S18" i="74"/>
  <c r="S20" i="74"/>
  <c r="S24" i="74"/>
  <c r="O18" i="74"/>
  <c r="O20" i="74"/>
  <c r="O24" i="74"/>
  <c r="O12" i="74"/>
  <c r="L18" i="74"/>
  <c r="L20" i="74"/>
  <c r="L24" i="74"/>
  <c r="L12" i="74"/>
  <c r="I18" i="74"/>
  <c r="I20" i="74"/>
  <c r="I24" i="74"/>
  <c r="I12" i="74"/>
  <c r="R29" i="72"/>
  <c r="S29" i="72"/>
  <c r="O29" i="72"/>
  <c r="L29" i="72"/>
  <c r="I29" i="72"/>
  <c r="H29" i="72"/>
  <c r="G29" i="72"/>
  <c r="F29" i="72"/>
  <c r="R29" i="71"/>
  <c r="S29" i="71"/>
  <c r="R37" i="71"/>
  <c r="S37" i="71"/>
  <c r="O37" i="71"/>
  <c r="O29" i="71"/>
  <c r="L37" i="71"/>
  <c r="L29" i="71"/>
  <c r="I37" i="71"/>
  <c r="H37" i="71"/>
  <c r="G37" i="71"/>
  <c r="F37" i="71"/>
  <c r="I29" i="71"/>
  <c r="H29" i="71"/>
  <c r="G29" i="71"/>
  <c r="F29" i="71"/>
  <c r="R21" i="71"/>
  <c r="S21" i="71"/>
  <c r="O21" i="71"/>
  <c r="L21" i="71"/>
  <c r="I21" i="71"/>
  <c r="R9" i="71"/>
  <c r="S9" i="71"/>
  <c r="R11" i="71"/>
  <c r="S11" i="71"/>
  <c r="R16" i="71"/>
  <c r="S16" i="71"/>
  <c r="O16" i="71"/>
  <c r="O11" i="71"/>
  <c r="O9" i="71"/>
  <c r="L16" i="71"/>
  <c r="L11" i="71"/>
  <c r="L9" i="71"/>
  <c r="I16" i="71"/>
  <c r="I11" i="71"/>
  <c r="I9" i="71"/>
  <c r="R37" i="70"/>
  <c r="S37" i="70"/>
  <c r="O37" i="70"/>
  <c r="L37" i="70"/>
  <c r="I37" i="70"/>
  <c r="H37" i="70"/>
  <c r="G37" i="70"/>
  <c r="F37" i="70"/>
  <c r="R29" i="70"/>
  <c r="S29" i="70"/>
  <c r="O29" i="70"/>
  <c r="L29" i="70"/>
  <c r="I29" i="70"/>
  <c r="H29" i="70"/>
  <c r="G29" i="70"/>
  <c r="F29" i="70"/>
  <c r="R21" i="70"/>
  <c r="S21" i="70"/>
  <c r="O21" i="70"/>
  <c r="L21" i="70"/>
  <c r="I21" i="70"/>
  <c r="R9" i="70"/>
  <c r="S9" i="70"/>
  <c r="R11" i="70"/>
  <c r="S11" i="70"/>
  <c r="R16" i="70"/>
  <c r="S16" i="70"/>
  <c r="O16" i="70"/>
  <c r="O11" i="70"/>
  <c r="O9" i="70"/>
  <c r="L16" i="70"/>
  <c r="L11" i="70"/>
  <c r="L9" i="70"/>
  <c r="I16" i="70"/>
  <c r="I11" i="70"/>
  <c r="I9" i="70"/>
  <c r="R37" i="56"/>
  <c r="S37" i="56"/>
  <c r="O37" i="56"/>
  <c r="L37" i="56"/>
  <c r="E37" i="56"/>
  <c r="I37" i="56"/>
  <c r="H37" i="56"/>
  <c r="G37" i="56"/>
  <c r="F37" i="56"/>
  <c r="R29" i="56"/>
  <c r="S29" i="56"/>
  <c r="O29" i="56"/>
  <c r="L29" i="56"/>
  <c r="I29" i="56"/>
  <c r="H29" i="56"/>
  <c r="G29" i="56"/>
  <c r="F29" i="56"/>
  <c r="R21" i="56"/>
  <c r="S21" i="56"/>
  <c r="O21" i="56"/>
  <c r="L21" i="56"/>
  <c r="I21" i="56"/>
  <c r="E21" i="56"/>
  <c r="R9" i="56"/>
  <c r="S9" i="56"/>
  <c r="R11" i="56"/>
  <c r="S11" i="56"/>
  <c r="R16" i="56"/>
  <c r="S16" i="56"/>
  <c r="O16" i="56"/>
  <c r="O11" i="56"/>
  <c r="O9" i="56"/>
  <c r="L16" i="56"/>
  <c r="L11" i="56"/>
  <c r="L9" i="56"/>
  <c r="I16" i="56"/>
  <c r="I11" i="56"/>
  <c r="I9" i="56"/>
  <c r="R37" i="4"/>
  <c r="R34" i="4"/>
  <c r="Q37" i="4"/>
  <c r="Q34" i="4"/>
  <c r="R29" i="4"/>
  <c r="S29" i="4"/>
  <c r="O29" i="4"/>
  <c r="L37" i="4"/>
  <c r="K37" i="4"/>
  <c r="L29" i="4"/>
  <c r="I29" i="4"/>
  <c r="H29" i="4"/>
  <c r="G29" i="4"/>
  <c r="F29" i="4"/>
  <c r="O21" i="4"/>
  <c r="L21" i="4"/>
  <c r="R9" i="4"/>
  <c r="S9" i="4"/>
  <c r="R11" i="4"/>
  <c r="S11" i="4"/>
  <c r="R16" i="4"/>
  <c r="S16" i="4"/>
  <c r="O16" i="4"/>
  <c r="O11" i="4"/>
  <c r="O9" i="4"/>
  <c r="L16" i="4"/>
  <c r="L11" i="4"/>
  <c r="L9" i="4"/>
  <c r="I16" i="4"/>
  <c r="I11" i="4"/>
  <c r="I9" i="4"/>
  <c r="R45" i="84"/>
  <c r="S45" i="84"/>
  <c r="O45" i="84"/>
  <c r="L45" i="84"/>
  <c r="I45" i="84"/>
  <c r="H45" i="84"/>
  <c r="G45" i="84"/>
  <c r="F45" i="84"/>
  <c r="S21" i="73"/>
  <c r="G21" i="73"/>
  <c r="F21" i="73"/>
  <c r="R11" i="54"/>
  <c r="R18" i="54"/>
  <c r="R21" i="54" s="1"/>
  <c r="R32" i="54" s="1"/>
  <c r="S11" i="54"/>
  <c r="S18" i="54" s="1"/>
  <c r="S21" i="54" s="1"/>
  <c r="S32" i="54" s="1"/>
  <c r="O11" i="54"/>
  <c r="O18" i="54" s="1"/>
  <c r="O21" i="54" s="1"/>
  <c r="O32" i="54" s="1"/>
  <c r="L11" i="54"/>
  <c r="L18" i="54" s="1"/>
  <c r="L21" i="54" s="1"/>
  <c r="L32" i="54" s="1"/>
  <c r="I11" i="54"/>
  <c r="I18" i="54" s="1"/>
  <c r="I21" i="54" s="1"/>
  <c r="E42" i="55"/>
  <c r="B8" i="67"/>
  <c r="B13" i="79"/>
  <c r="F35" i="85"/>
  <c r="F34" i="85"/>
  <c r="F33" i="85"/>
  <c r="F36" i="85" s="1"/>
  <c r="F32" i="85"/>
  <c r="F29" i="85"/>
  <c r="F28" i="85"/>
  <c r="D34" i="57"/>
  <c r="D33" i="57"/>
  <c r="D32" i="57"/>
  <c r="D31" i="57"/>
  <c r="D30" i="57"/>
  <c r="D29" i="57"/>
  <c r="D28" i="57"/>
  <c r="D35" i="57" s="1"/>
  <c r="D14" i="57"/>
  <c r="D13" i="57"/>
  <c r="D12" i="57"/>
  <c r="D11" i="57"/>
  <c r="D15" i="57" s="1"/>
  <c r="D10" i="57"/>
  <c r="D9" i="57"/>
  <c r="D8" i="57"/>
  <c r="D22" i="82"/>
  <c r="D23" i="82"/>
  <c r="J25" i="69"/>
  <c r="I25" i="69"/>
  <c r="H25" i="69"/>
  <c r="G25" i="69"/>
  <c r="F25" i="69"/>
  <c r="E25" i="69"/>
  <c r="D25" i="69"/>
  <c r="C25" i="69"/>
  <c r="B25" i="69"/>
  <c r="J10" i="69"/>
  <c r="J15" i="69"/>
  <c r="I10" i="69"/>
  <c r="I15" i="69"/>
  <c r="H10" i="69"/>
  <c r="H15" i="69"/>
  <c r="G10" i="69"/>
  <c r="G15" i="69"/>
  <c r="F10" i="69"/>
  <c r="F15" i="69"/>
  <c r="E10" i="69"/>
  <c r="E15" i="69"/>
  <c r="D10" i="69"/>
  <c r="D15" i="69"/>
  <c r="C10" i="69"/>
  <c r="C15" i="69" s="1"/>
  <c r="B10" i="69"/>
  <c r="B15" i="69"/>
  <c r="J21" i="69"/>
  <c r="I21" i="69"/>
  <c r="H21" i="69"/>
  <c r="G21" i="69"/>
  <c r="F21" i="69"/>
  <c r="E21" i="69"/>
  <c r="D21" i="69"/>
  <c r="B21" i="69"/>
  <c r="C21" i="69"/>
  <c r="J20" i="69"/>
  <c r="I20" i="69"/>
  <c r="H20" i="69"/>
  <c r="G20" i="69"/>
  <c r="F20" i="69"/>
  <c r="E20" i="69"/>
  <c r="D20" i="69"/>
  <c r="B20" i="69"/>
  <c r="C20" i="69"/>
  <c r="B18" i="69"/>
  <c r="J18" i="69"/>
  <c r="I18" i="69"/>
  <c r="H18" i="69"/>
  <c r="G18" i="69"/>
  <c r="F18" i="69"/>
  <c r="E18" i="69"/>
  <c r="D18" i="69"/>
  <c r="C18" i="69"/>
  <c r="J17" i="69"/>
  <c r="I17" i="69"/>
  <c r="H17" i="69"/>
  <c r="G17" i="69"/>
  <c r="F17" i="69"/>
  <c r="E17" i="69"/>
  <c r="D17" i="69"/>
  <c r="A23" i="65"/>
  <c r="A22" i="65"/>
  <c r="H30" i="74"/>
  <c r="G30" i="74"/>
  <c r="F30" i="74"/>
  <c r="D30" i="74"/>
  <c r="C30" i="74"/>
  <c r="B30" i="74"/>
  <c r="Q21" i="90"/>
  <c r="N21" i="90"/>
  <c r="K21" i="90"/>
  <c r="E21" i="90"/>
  <c r="Q17" i="90"/>
  <c r="N17" i="90"/>
  <c r="K17" i="90"/>
  <c r="K23" i="90"/>
  <c r="E17" i="90"/>
  <c r="H16" i="90"/>
  <c r="G16" i="90"/>
  <c r="F16" i="90"/>
  <c r="D16" i="90"/>
  <c r="C16" i="90"/>
  <c r="B16" i="90"/>
  <c r="H20" i="90"/>
  <c r="G20" i="90"/>
  <c r="F20" i="90"/>
  <c r="D20" i="90"/>
  <c r="C20" i="90"/>
  <c r="B20" i="90"/>
  <c r="H19" i="90"/>
  <c r="G19" i="90"/>
  <c r="F19" i="90"/>
  <c r="D19" i="90"/>
  <c r="C19" i="90"/>
  <c r="C21" i="90" s="1"/>
  <c r="B19" i="90"/>
  <c r="H15" i="90"/>
  <c r="G15" i="90"/>
  <c r="F15" i="90"/>
  <c r="D15" i="90"/>
  <c r="C15" i="90"/>
  <c r="B15" i="90"/>
  <c r="H14" i="90"/>
  <c r="G14" i="90"/>
  <c r="F14" i="90"/>
  <c r="D14" i="90"/>
  <c r="C14" i="90"/>
  <c r="B14" i="90"/>
  <c r="H13" i="90"/>
  <c r="G13" i="90"/>
  <c r="F13" i="90"/>
  <c r="D13" i="90"/>
  <c r="C13" i="90"/>
  <c r="B13" i="90"/>
  <c r="H12" i="90"/>
  <c r="G12" i="90"/>
  <c r="F12" i="90"/>
  <c r="D12" i="90"/>
  <c r="C12" i="90"/>
  <c r="B12" i="90"/>
  <c r="H11" i="90"/>
  <c r="G11" i="90"/>
  <c r="F11" i="90"/>
  <c r="D11" i="90"/>
  <c r="C11" i="90"/>
  <c r="B11" i="90"/>
  <c r="H10" i="90"/>
  <c r="G10" i="90"/>
  <c r="F10" i="90"/>
  <c r="D10" i="90"/>
  <c r="C10" i="90"/>
  <c r="B10" i="90"/>
  <c r="A1" i="90"/>
  <c r="S41" i="73"/>
  <c r="S40" i="73"/>
  <c r="R41" i="73"/>
  <c r="Q41" i="73"/>
  <c r="L41" i="73"/>
  <c r="L40" i="73"/>
  <c r="K41" i="73"/>
  <c r="I41" i="73"/>
  <c r="I40" i="73"/>
  <c r="H41" i="73"/>
  <c r="H40" i="73"/>
  <c r="B41" i="73"/>
  <c r="O41" i="73"/>
  <c r="N41" i="73"/>
  <c r="G41" i="73"/>
  <c r="F41" i="73"/>
  <c r="E41" i="73"/>
  <c r="D41" i="73"/>
  <c r="C41" i="73"/>
  <c r="E23" i="90"/>
  <c r="B21" i="90"/>
  <c r="Q23" i="90"/>
  <c r="H21" i="90"/>
  <c r="F21" i="90"/>
  <c r="D21" i="90"/>
  <c r="G21" i="90"/>
  <c r="F17" i="90"/>
  <c r="G17" i="90"/>
  <c r="D17" i="90"/>
  <c r="D23" i="90"/>
  <c r="H17" i="90"/>
  <c r="F23" i="90"/>
  <c r="G23" i="90"/>
  <c r="H23" i="90"/>
  <c r="C14" i="84"/>
  <c r="D9" i="89"/>
  <c r="D12" i="67"/>
  <c r="E12" i="67"/>
  <c r="K21" i="70"/>
  <c r="F30" i="44"/>
  <c r="F28" i="44"/>
  <c r="B30" i="58"/>
  <c r="B32" i="58" s="1"/>
  <c r="C17" i="44"/>
  <c r="F14" i="58" s="1"/>
  <c r="E45" i="84"/>
  <c r="E37" i="4"/>
  <c r="E27" i="67"/>
  <c r="F27" i="67"/>
  <c r="H27" i="67"/>
  <c r="S26" i="77"/>
  <c r="L15" i="73"/>
  <c r="O15" i="73"/>
  <c r="I30" i="76"/>
  <c r="S24" i="72"/>
  <c r="R24" i="72"/>
  <c r="Q24" i="72"/>
  <c r="O24" i="72"/>
  <c r="N24" i="72"/>
  <c r="B24" i="72" s="1"/>
  <c r="L24" i="72"/>
  <c r="K24" i="72"/>
  <c r="I24" i="72"/>
  <c r="E24" i="72"/>
  <c r="S22" i="72"/>
  <c r="S20" i="72"/>
  <c r="R22" i="72"/>
  <c r="Q22" i="72"/>
  <c r="R20" i="72"/>
  <c r="Q20" i="72"/>
  <c r="O22" i="72"/>
  <c r="N22" i="72"/>
  <c r="C22" i="72" s="1"/>
  <c r="C21" i="72" s="1"/>
  <c r="O20" i="72"/>
  <c r="N20" i="72"/>
  <c r="L22" i="72"/>
  <c r="K22" i="72"/>
  <c r="L20" i="72"/>
  <c r="K20" i="72"/>
  <c r="I22" i="72"/>
  <c r="I20" i="72"/>
  <c r="E22" i="72"/>
  <c r="E20" i="72"/>
  <c r="S15" i="72"/>
  <c r="S14" i="72"/>
  <c r="S12" i="72"/>
  <c r="S10" i="72"/>
  <c r="S8" i="72"/>
  <c r="R15" i="72"/>
  <c r="Q15" i="72"/>
  <c r="R14" i="72"/>
  <c r="Q14" i="72"/>
  <c r="R12" i="72"/>
  <c r="Q12" i="72"/>
  <c r="R10" i="72"/>
  <c r="Q10" i="72"/>
  <c r="R8" i="72"/>
  <c r="Q8" i="72"/>
  <c r="O15" i="72"/>
  <c r="O14" i="72"/>
  <c r="O12" i="72"/>
  <c r="O10" i="72"/>
  <c r="O8" i="72"/>
  <c r="N15" i="72"/>
  <c r="B15" i="72" s="1"/>
  <c r="N14" i="72"/>
  <c r="C14" i="72" s="1"/>
  <c r="N12" i="72"/>
  <c r="N10" i="72"/>
  <c r="N8" i="72"/>
  <c r="L15" i="72"/>
  <c r="K15" i="72"/>
  <c r="L14" i="72"/>
  <c r="K14" i="72"/>
  <c r="L12" i="72"/>
  <c r="K12" i="72"/>
  <c r="D12" i="72"/>
  <c r="L10" i="72"/>
  <c r="G10" i="72"/>
  <c r="K10" i="72"/>
  <c r="L8" i="72"/>
  <c r="K8" i="72"/>
  <c r="I15" i="72"/>
  <c r="I14" i="72"/>
  <c r="I12" i="72"/>
  <c r="I10" i="72"/>
  <c r="I8" i="72"/>
  <c r="E15" i="72"/>
  <c r="E14" i="72"/>
  <c r="E12" i="72"/>
  <c r="E10" i="72"/>
  <c r="E8" i="72"/>
  <c r="N21" i="70"/>
  <c r="B9" i="89"/>
  <c r="B29" i="67"/>
  <c r="B27" i="67"/>
  <c r="B33" i="76"/>
  <c r="C33" i="76"/>
  <c r="A1" i="57"/>
  <c r="C29" i="67"/>
  <c r="C27" i="67"/>
  <c r="Q23" i="84"/>
  <c r="N23" i="84"/>
  <c r="C24" i="84"/>
  <c r="C23" i="84" s="1"/>
  <c r="E23" i="84"/>
  <c r="C14" i="54"/>
  <c r="A1" i="44"/>
  <c r="H22" i="74"/>
  <c r="G22" i="74"/>
  <c r="F22" i="74"/>
  <c r="D22" i="74"/>
  <c r="C22" i="74"/>
  <c r="B22" i="74"/>
  <c r="H10" i="77"/>
  <c r="G10" i="77"/>
  <c r="F10" i="77"/>
  <c r="D10" i="77"/>
  <c r="C10" i="77"/>
  <c r="B10" i="77"/>
  <c r="D33" i="76"/>
  <c r="F29" i="67"/>
  <c r="D27" i="67"/>
  <c r="A32" i="65"/>
  <c r="E26" i="89"/>
  <c r="D26" i="89"/>
  <c r="C26" i="89"/>
  <c r="B26" i="89"/>
  <c r="H9" i="89"/>
  <c r="G9" i="89"/>
  <c r="F9" i="89"/>
  <c r="C9" i="89"/>
  <c r="R32" i="84"/>
  <c r="K29" i="72"/>
  <c r="Q21" i="71"/>
  <c r="Q16" i="71"/>
  <c r="S10" i="84"/>
  <c r="Q11" i="71"/>
  <c r="Q9" i="71"/>
  <c r="N21" i="71"/>
  <c r="N11" i="71"/>
  <c r="K21" i="71"/>
  <c r="K16" i="71"/>
  <c r="L10" i="84"/>
  <c r="S31" i="84"/>
  <c r="Q37" i="71"/>
  <c r="N37" i="71"/>
  <c r="K37" i="71"/>
  <c r="C29" i="71"/>
  <c r="C31" i="84"/>
  <c r="C37" i="71"/>
  <c r="D29" i="71"/>
  <c r="B37" i="70"/>
  <c r="C37" i="70"/>
  <c r="D37" i="70"/>
  <c r="R30" i="84"/>
  <c r="Q37" i="70"/>
  <c r="Q21" i="70"/>
  <c r="R9" i="84"/>
  <c r="N37" i="70"/>
  <c r="L9" i="84"/>
  <c r="K9" i="70"/>
  <c r="I9" i="84"/>
  <c r="S29" i="84"/>
  <c r="Q37" i="56"/>
  <c r="N37" i="56"/>
  <c r="K37" i="56"/>
  <c r="B37" i="56"/>
  <c r="B29" i="56"/>
  <c r="B29" i="84"/>
  <c r="C37" i="56"/>
  <c r="D37" i="56"/>
  <c r="Q21" i="56"/>
  <c r="S8" i="84"/>
  <c r="Q16" i="56"/>
  <c r="Q8" i="84"/>
  <c r="R8" i="84"/>
  <c r="Q11" i="56"/>
  <c r="Q9" i="56"/>
  <c r="N21" i="56"/>
  <c r="N16" i="56"/>
  <c r="N8" i="84"/>
  <c r="K21" i="56"/>
  <c r="S37" i="4"/>
  <c r="O37" i="4"/>
  <c r="N37" i="4"/>
  <c r="I37" i="4"/>
  <c r="H37" i="4"/>
  <c r="G37" i="4"/>
  <c r="F37" i="4"/>
  <c r="B37" i="4"/>
  <c r="C37" i="4"/>
  <c r="C29" i="4"/>
  <c r="C33" i="84"/>
  <c r="C37" i="84"/>
  <c r="D37" i="4"/>
  <c r="S21" i="4"/>
  <c r="R21" i="4"/>
  <c r="Q21" i="4"/>
  <c r="D24" i="4"/>
  <c r="D15" i="4"/>
  <c r="K16" i="4"/>
  <c r="D8" i="4"/>
  <c r="I21" i="4"/>
  <c r="D12" i="4"/>
  <c r="D14" i="4"/>
  <c r="B29" i="72"/>
  <c r="B32" i="84"/>
  <c r="Q29" i="72"/>
  <c r="Q32" i="84"/>
  <c r="B29" i="71"/>
  <c r="Q29" i="70"/>
  <c r="Q30" i="84"/>
  <c r="Q16" i="70"/>
  <c r="Q9" i="84"/>
  <c r="Q9" i="70"/>
  <c r="Q16" i="4"/>
  <c r="Q9" i="4"/>
  <c r="N16" i="4"/>
  <c r="N16" i="70"/>
  <c r="N9" i="84"/>
  <c r="C29" i="72"/>
  <c r="N29" i="72"/>
  <c r="N32" i="84"/>
  <c r="N16" i="71"/>
  <c r="N10" i="84"/>
  <c r="N9" i="71"/>
  <c r="N9" i="70"/>
  <c r="N9" i="4"/>
  <c r="N9" i="56"/>
  <c r="N21" i="4"/>
  <c r="D29" i="72"/>
  <c r="K21" i="4"/>
  <c r="D22" i="4"/>
  <c r="K9" i="4"/>
  <c r="K11" i="71"/>
  <c r="K9" i="71"/>
  <c r="D29" i="70"/>
  <c r="K16" i="70"/>
  <c r="K9" i="84"/>
  <c r="D29" i="56"/>
  <c r="K16" i="56"/>
  <c r="K8" i="84"/>
  <c r="K9" i="56"/>
  <c r="Q29" i="71"/>
  <c r="R31" i="84"/>
  <c r="O31" i="84"/>
  <c r="N29" i="71"/>
  <c r="N31" i="84"/>
  <c r="K29" i="71"/>
  <c r="K31" i="84"/>
  <c r="F31" i="84"/>
  <c r="H31" i="84"/>
  <c r="B37" i="71"/>
  <c r="D37" i="71"/>
  <c r="B29" i="70"/>
  <c r="B30" i="84"/>
  <c r="C29" i="70"/>
  <c r="I30" i="84"/>
  <c r="F30" i="84"/>
  <c r="Q11" i="70"/>
  <c r="O30" i="84"/>
  <c r="N11" i="70"/>
  <c r="N29" i="70"/>
  <c r="K11" i="70"/>
  <c r="K29" i="70"/>
  <c r="Q29" i="56"/>
  <c r="N29" i="56"/>
  <c r="N29" i="84"/>
  <c r="K29" i="56"/>
  <c r="K29" i="84"/>
  <c r="G29" i="84"/>
  <c r="C29" i="56"/>
  <c r="N11" i="56"/>
  <c r="K11" i="56"/>
  <c r="R33" i="84"/>
  <c r="R37" i="84"/>
  <c r="Q29" i="4"/>
  <c r="Q35" i="73"/>
  <c r="O33" i="84"/>
  <c r="O37" i="84"/>
  <c r="N29" i="4"/>
  <c r="L33" i="84"/>
  <c r="L37" i="84"/>
  <c r="K29" i="4"/>
  <c r="G33" i="84"/>
  <c r="G37" i="84"/>
  <c r="F35" i="73"/>
  <c r="B29" i="4"/>
  <c r="B35" i="73"/>
  <c r="D29" i="4"/>
  <c r="Q11" i="4"/>
  <c r="N11" i="4"/>
  <c r="D10" i="4"/>
  <c r="K11" i="4"/>
  <c r="D20" i="4"/>
  <c r="A1" i="89"/>
  <c r="A1" i="4"/>
  <c r="A1" i="77"/>
  <c r="A26" i="65"/>
  <c r="A25" i="65"/>
  <c r="J29" i="67"/>
  <c r="I29" i="67"/>
  <c r="H29" i="67"/>
  <c r="G29" i="67"/>
  <c r="J27" i="67"/>
  <c r="I27" i="67"/>
  <c r="G27" i="67"/>
  <c r="D10" i="79"/>
  <c r="F27" i="44"/>
  <c r="F29" i="44"/>
  <c r="F31" i="44"/>
  <c r="E32" i="44"/>
  <c r="E35" i="44" s="1"/>
  <c r="D32" i="44"/>
  <c r="D35" i="44" s="1"/>
  <c r="C32" i="44"/>
  <c r="C35" i="44" s="1"/>
  <c r="B32" i="44"/>
  <c r="B35" i="44" s="1"/>
  <c r="E17" i="44"/>
  <c r="A1" i="67"/>
  <c r="E8" i="67"/>
  <c r="A41" i="65"/>
  <c r="A40" i="65"/>
  <c r="A39" i="65"/>
  <c r="A38" i="65"/>
  <c r="A37" i="65"/>
  <c r="A36" i="65"/>
  <c r="A35" i="65"/>
  <c r="A31" i="65"/>
  <c r="A30" i="65"/>
  <c r="A29" i="65"/>
  <c r="A24" i="65"/>
  <c r="A19" i="65"/>
  <c r="A18" i="65"/>
  <c r="A17" i="65"/>
  <c r="A16" i="65"/>
  <c r="A15" i="65"/>
  <c r="A14" i="65"/>
  <c r="A11" i="65"/>
  <c r="A10" i="65"/>
  <c r="A9" i="65"/>
  <c r="A1" i="73"/>
  <c r="H33" i="76"/>
  <c r="G33" i="76"/>
  <c r="F33" i="76"/>
  <c r="S30" i="76"/>
  <c r="R30" i="76"/>
  <c r="Q30" i="76"/>
  <c r="O30" i="76"/>
  <c r="N30" i="76"/>
  <c r="L30" i="76"/>
  <c r="K30" i="76"/>
  <c r="H30" i="76"/>
  <c r="G30" i="76"/>
  <c r="F30" i="76"/>
  <c r="E30" i="76"/>
  <c r="D30" i="76"/>
  <c r="C30" i="76"/>
  <c r="B30" i="76"/>
  <c r="P30" i="76"/>
  <c r="P26" i="76"/>
  <c r="S25" i="76"/>
  <c r="R25" i="76"/>
  <c r="Q25" i="76"/>
  <c r="O25" i="76"/>
  <c r="N25" i="76"/>
  <c r="L25" i="76"/>
  <c r="K25" i="76"/>
  <c r="I25" i="76"/>
  <c r="H25" i="76"/>
  <c r="G25" i="76"/>
  <c r="F25" i="76"/>
  <c r="E25" i="76"/>
  <c r="D25" i="76"/>
  <c r="C25" i="76"/>
  <c r="B25" i="76"/>
  <c r="B10" i="76"/>
  <c r="B29" i="76"/>
  <c r="C10" i="76"/>
  <c r="C29" i="76"/>
  <c r="C31" i="76"/>
  <c r="D10" i="76"/>
  <c r="D29" i="76"/>
  <c r="S29" i="76"/>
  <c r="R29" i="76"/>
  <c r="Q10" i="76"/>
  <c r="Q29" i="76"/>
  <c r="O29" i="76"/>
  <c r="N10" i="76"/>
  <c r="N29" i="76" s="1"/>
  <c r="L29" i="76"/>
  <c r="K10" i="76"/>
  <c r="K29" i="76"/>
  <c r="I29" i="76"/>
  <c r="H29" i="76"/>
  <c r="G29" i="76"/>
  <c r="F29" i="76"/>
  <c r="E29" i="76"/>
  <c r="H9" i="74"/>
  <c r="G9" i="74"/>
  <c r="F9" i="74"/>
  <c r="D9" i="74"/>
  <c r="C9" i="74"/>
  <c r="B9" i="74"/>
  <c r="E30" i="85"/>
  <c r="E36" i="85" s="1"/>
  <c r="D30" i="85"/>
  <c r="D36" i="85" s="1"/>
  <c r="D13" i="85"/>
  <c r="D12" i="85"/>
  <c r="D11" i="85"/>
  <c r="D10" i="85"/>
  <c r="D14" i="85" s="1"/>
  <c r="D18" i="85"/>
  <c r="D17" i="85"/>
  <c r="D16" i="85"/>
  <c r="B14" i="85"/>
  <c r="B19" i="85" s="1"/>
  <c r="A1" i="85"/>
  <c r="B45" i="44"/>
  <c r="D14" i="79"/>
  <c r="D12" i="79"/>
  <c r="D11" i="79"/>
  <c r="D9" i="79"/>
  <c r="D13" i="79" s="1"/>
  <c r="D26" i="84"/>
  <c r="Q45" i="84"/>
  <c r="N45" i="84"/>
  <c r="K45" i="84"/>
  <c r="B45" i="84"/>
  <c r="C45" i="84"/>
  <c r="D45" i="84"/>
  <c r="H26" i="84"/>
  <c r="G26" i="84"/>
  <c r="F26" i="84"/>
  <c r="C26" i="84"/>
  <c r="B26" i="84"/>
  <c r="H24" i="84"/>
  <c r="G24" i="84"/>
  <c r="F24" i="84"/>
  <c r="D24" i="84"/>
  <c r="B24" i="84"/>
  <c r="B23" i="84" s="1"/>
  <c r="S23" i="84"/>
  <c r="R23" i="84"/>
  <c r="O23" i="84"/>
  <c r="L23" i="84"/>
  <c r="K23" i="84"/>
  <c r="I23" i="84"/>
  <c r="H22" i="84"/>
  <c r="G22" i="84"/>
  <c r="F22" i="84"/>
  <c r="D22" i="84"/>
  <c r="C22" i="84"/>
  <c r="B22" i="84"/>
  <c r="H17" i="84"/>
  <c r="G17" i="84"/>
  <c r="F17" i="84"/>
  <c r="D17" i="84"/>
  <c r="C17" i="84"/>
  <c r="B17" i="84"/>
  <c r="H14" i="84"/>
  <c r="G14" i="84"/>
  <c r="F14" i="84"/>
  <c r="D14" i="84"/>
  <c r="B14" i="84"/>
  <c r="A1" i="84"/>
  <c r="S20" i="73"/>
  <c r="R20" i="73"/>
  <c r="Q20" i="73"/>
  <c r="O20" i="73"/>
  <c r="N20" i="73"/>
  <c r="L20" i="73"/>
  <c r="K20" i="73"/>
  <c r="I20" i="73"/>
  <c r="H20" i="73"/>
  <c r="G20" i="73"/>
  <c r="F20" i="73"/>
  <c r="C20" i="73"/>
  <c r="B20" i="73"/>
  <c r="D20" i="73"/>
  <c r="A1" i="83"/>
  <c r="S14" i="73"/>
  <c r="R14" i="73"/>
  <c r="Q14" i="73"/>
  <c r="O14" i="73"/>
  <c r="N14" i="73"/>
  <c r="L14" i="73"/>
  <c r="K14" i="73"/>
  <c r="I14" i="73"/>
  <c r="E14" i="73"/>
  <c r="F34" i="44"/>
  <c r="C20" i="82"/>
  <c r="E15" i="82" s="1"/>
  <c r="B20" i="82"/>
  <c r="B25" i="82" s="1"/>
  <c r="A1" i="82"/>
  <c r="E21" i="71"/>
  <c r="H22" i="71"/>
  <c r="G22" i="71"/>
  <c r="F22" i="71"/>
  <c r="D22" i="71"/>
  <c r="C22" i="71"/>
  <c r="B22" i="71"/>
  <c r="F20" i="70"/>
  <c r="E21" i="70"/>
  <c r="H22" i="70"/>
  <c r="G22" i="70"/>
  <c r="F22" i="70"/>
  <c r="F21" i="70"/>
  <c r="D22" i="70"/>
  <c r="D21" i="70"/>
  <c r="C22" i="70"/>
  <c r="C21" i="70"/>
  <c r="B22" i="70"/>
  <c r="B21" i="70" s="1"/>
  <c r="H22" i="56"/>
  <c r="G22" i="56"/>
  <c r="F22" i="56"/>
  <c r="D22" i="56"/>
  <c r="C22" i="56"/>
  <c r="B22" i="56"/>
  <c r="E21" i="4"/>
  <c r="H22" i="4"/>
  <c r="G22" i="4"/>
  <c r="F22" i="4"/>
  <c r="C22" i="4"/>
  <c r="C21" i="4" s="1"/>
  <c r="B22" i="4"/>
  <c r="H20" i="4"/>
  <c r="G20" i="4"/>
  <c r="F20" i="4"/>
  <c r="C20" i="4"/>
  <c r="B20" i="4"/>
  <c r="B15" i="79"/>
  <c r="B21" i="79" s="1"/>
  <c r="A1" i="79"/>
  <c r="S38" i="73"/>
  <c r="H24" i="4"/>
  <c r="G24" i="4"/>
  <c r="F24" i="4"/>
  <c r="C24" i="4"/>
  <c r="B24" i="4"/>
  <c r="H11" i="77"/>
  <c r="G11" i="77"/>
  <c r="F11" i="77"/>
  <c r="D11" i="77"/>
  <c r="C11" i="77"/>
  <c r="B11" i="77"/>
  <c r="L31" i="84"/>
  <c r="Q31" i="84"/>
  <c r="I31" i="84"/>
  <c r="G31" i="84"/>
  <c r="E29" i="71"/>
  <c r="E31" i="84"/>
  <c r="D31" i="84"/>
  <c r="B31" i="84"/>
  <c r="R10" i="84"/>
  <c r="Q10" i="84"/>
  <c r="O10" i="84"/>
  <c r="K10" i="84"/>
  <c r="I10" i="84"/>
  <c r="E16" i="71"/>
  <c r="E10" i="84"/>
  <c r="B14" i="71"/>
  <c r="C14" i="71"/>
  <c r="D14" i="71"/>
  <c r="F14" i="71"/>
  <c r="G14" i="71"/>
  <c r="H14" i="71"/>
  <c r="S9" i="84"/>
  <c r="O9" i="84"/>
  <c r="E16" i="70"/>
  <c r="E9" i="84"/>
  <c r="O8" i="84"/>
  <c r="L8" i="84"/>
  <c r="I8" i="84"/>
  <c r="E16" i="56"/>
  <c r="E8" i="84"/>
  <c r="E16" i="4"/>
  <c r="B22" i="73"/>
  <c r="Q22" i="73"/>
  <c r="E37" i="71"/>
  <c r="E29" i="56"/>
  <c r="E29" i="84"/>
  <c r="E34" i="73"/>
  <c r="J12" i="67"/>
  <c r="J10" i="67"/>
  <c r="J8" i="67"/>
  <c r="E12" i="73"/>
  <c r="D12" i="73"/>
  <c r="K12" i="73"/>
  <c r="C12" i="73"/>
  <c r="N12" i="73" s="1"/>
  <c r="H7" i="67"/>
  <c r="I12" i="73"/>
  <c r="H12" i="73"/>
  <c r="L12" i="73"/>
  <c r="G12" i="73"/>
  <c r="O12" i="73"/>
  <c r="F12" i="73"/>
  <c r="R12" i="73"/>
  <c r="S12" i="73"/>
  <c r="S17" i="77"/>
  <c r="I15" i="73"/>
  <c r="R15" i="73"/>
  <c r="S15" i="73"/>
  <c r="E15" i="76"/>
  <c r="E38" i="73"/>
  <c r="D15" i="76"/>
  <c r="D23" i="76"/>
  <c r="I38" i="73"/>
  <c r="H42" i="73"/>
  <c r="G40" i="73"/>
  <c r="F38" i="73"/>
  <c r="R38" i="73"/>
  <c r="S30" i="84"/>
  <c r="B14" i="56"/>
  <c r="E11" i="56"/>
  <c r="R29" i="84"/>
  <c r="I33" i="84"/>
  <c r="O34" i="73"/>
  <c r="S34" i="73"/>
  <c r="S33" i="73"/>
  <c r="A1" i="59"/>
  <c r="D10" i="59"/>
  <c r="D14" i="59" s="1"/>
  <c r="D19" i="59" s="1"/>
  <c r="D11" i="59"/>
  <c r="D12" i="59"/>
  <c r="D13" i="59"/>
  <c r="B14" i="59"/>
  <c r="B19" i="59"/>
  <c r="D16" i="59"/>
  <c r="D17" i="59"/>
  <c r="D18" i="59"/>
  <c r="F28" i="59"/>
  <c r="F30" i="59" s="1"/>
  <c r="F29" i="59"/>
  <c r="B30" i="59"/>
  <c r="B36" i="59" s="1"/>
  <c r="D30" i="59"/>
  <c r="D36" i="59" s="1"/>
  <c r="E30" i="59"/>
  <c r="E36" i="59" s="1"/>
  <c r="F32" i="59"/>
  <c r="F33" i="59"/>
  <c r="F34" i="59"/>
  <c r="F35" i="59"/>
  <c r="A1" i="58"/>
  <c r="D11" i="58"/>
  <c r="D12" i="58"/>
  <c r="D13" i="58"/>
  <c r="D14" i="58"/>
  <c r="B15" i="58"/>
  <c r="B17" i="58"/>
  <c r="D16" i="58"/>
  <c r="D26" i="58"/>
  <c r="D30" i="58" s="1"/>
  <c r="D32" i="58" s="1"/>
  <c r="D27" i="58"/>
  <c r="D28" i="58"/>
  <c r="D29" i="58"/>
  <c r="D31" i="58"/>
  <c r="B15" i="57"/>
  <c r="B35" i="57"/>
  <c r="C35" i="57"/>
  <c r="D17" i="44"/>
  <c r="A1" i="69"/>
  <c r="C8" i="67"/>
  <c r="D8" i="67"/>
  <c r="F8" i="67"/>
  <c r="G8" i="67"/>
  <c r="H8" i="67"/>
  <c r="I8" i="67"/>
  <c r="B10" i="67"/>
  <c r="C10" i="67"/>
  <c r="D10" i="67"/>
  <c r="E10" i="67"/>
  <c r="F10" i="67"/>
  <c r="G10" i="67"/>
  <c r="H10" i="67"/>
  <c r="I10" i="67"/>
  <c r="B12" i="67"/>
  <c r="F12" i="67"/>
  <c r="G12" i="67"/>
  <c r="H12" i="67"/>
  <c r="I12" i="67"/>
  <c r="A1" i="55"/>
  <c r="B17" i="55"/>
  <c r="B12" i="73"/>
  <c r="Q12" i="73"/>
  <c r="B29" i="55"/>
  <c r="B39" i="55"/>
  <c r="B17" i="69"/>
  <c r="B9" i="77"/>
  <c r="C9" i="77"/>
  <c r="D9" i="77"/>
  <c r="F9" i="77"/>
  <c r="G9" i="77"/>
  <c r="H9" i="77"/>
  <c r="B13" i="77"/>
  <c r="C13" i="77"/>
  <c r="D13" i="77"/>
  <c r="F13" i="77"/>
  <c r="G13" i="77"/>
  <c r="H13" i="77"/>
  <c r="B14" i="77"/>
  <c r="C14" i="77"/>
  <c r="D14" i="77"/>
  <c r="F14" i="77"/>
  <c r="G14" i="77"/>
  <c r="H14" i="77"/>
  <c r="B15" i="77"/>
  <c r="C15" i="77"/>
  <c r="D15" i="77"/>
  <c r="F15" i="77"/>
  <c r="G15" i="77"/>
  <c r="H15" i="77"/>
  <c r="B16" i="77"/>
  <c r="C16" i="77"/>
  <c r="D16" i="77"/>
  <c r="F16" i="77"/>
  <c r="G16" i="77"/>
  <c r="H16" i="77"/>
  <c r="B21" i="77"/>
  <c r="D21" i="77"/>
  <c r="F21" i="77"/>
  <c r="G21" i="77"/>
  <c r="H21" i="77"/>
  <c r="B22" i="77"/>
  <c r="D22" i="77"/>
  <c r="F22" i="77"/>
  <c r="G22" i="77"/>
  <c r="H22" i="77"/>
  <c r="B8" i="45"/>
  <c r="C8" i="45"/>
  <c r="D8" i="45"/>
  <c r="F8" i="45"/>
  <c r="G8" i="45"/>
  <c r="H8" i="45"/>
  <c r="B9" i="45"/>
  <c r="C9" i="45"/>
  <c r="D9" i="45"/>
  <c r="F9" i="45"/>
  <c r="G9" i="45"/>
  <c r="H9" i="45"/>
  <c r="B10" i="45"/>
  <c r="C10" i="45"/>
  <c r="D10" i="45"/>
  <c r="F10" i="45"/>
  <c r="G10" i="45"/>
  <c r="H10" i="45"/>
  <c r="B11" i="45"/>
  <c r="C11" i="45"/>
  <c r="D11" i="45"/>
  <c r="F11" i="45"/>
  <c r="G11" i="45"/>
  <c r="H11" i="45"/>
  <c r="B12" i="45"/>
  <c r="C12" i="45"/>
  <c r="C13" i="45" s="1"/>
  <c r="D12" i="45"/>
  <c r="F12" i="45"/>
  <c r="G12" i="45"/>
  <c r="H12" i="45"/>
  <c r="E13" i="45"/>
  <c r="E16" i="45"/>
  <c r="E15" i="73"/>
  <c r="K13" i="45"/>
  <c r="K16" i="45"/>
  <c r="K15" i="73"/>
  <c r="N13" i="45"/>
  <c r="N16" i="45" s="1"/>
  <c r="N15" i="73" s="1"/>
  <c r="Q13" i="45"/>
  <c r="Q16" i="45"/>
  <c r="Q15" i="73"/>
  <c r="B15" i="45"/>
  <c r="C15" i="45"/>
  <c r="D15" i="45"/>
  <c r="F15" i="45"/>
  <c r="G15" i="45"/>
  <c r="H15" i="45"/>
  <c r="A1" i="76"/>
  <c r="B15" i="76"/>
  <c r="B23" i="76"/>
  <c r="B40" i="73"/>
  <c r="C15" i="76"/>
  <c r="C23" i="76" s="1"/>
  <c r="K15" i="76"/>
  <c r="K23" i="76"/>
  <c r="L38" i="73"/>
  <c r="N15" i="76"/>
  <c r="N38" i="73" s="1"/>
  <c r="N23" i="76"/>
  <c r="N40" i="76" s="1"/>
  <c r="N38" i="76" s="1"/>
  <c r="N40" i="73" s="1"/>
  <c r="O40" i="76"/>
  <c r="O38" i="76"/>
  <c r="O40" i="73"/>
  <c r="Q15" i="76"/>
  <c r="Q38" i="73"/>
  <c r="A1" i="74"/>
  <c r="B8" i="74"/>
  <c r="C8" i="74"/>
  <c r="D8" i="74"/>
  <c r="F8" i="74"/>
  <c r="G8" i="74"/>
  <c r="H8" i="74"/>
  <c r="B10" i="74"/>
  <c r="C10" i="74"/>
  <c r="D10" i="74"/>
  <c r="F10" i="74"/>
  <c r="G10" i="74"/>
  <c r="H10" i="74"/>
  <c r="E12" i="74"/>
  <c r="K12" i="74"/>
  <c r="N12" i="74"/>
  <c r="Q12" i="74"/>
  <c r="B14" i="74"/>
  <c r="C14" i="74"/>
  <c r="D14" i="74"/>
  <c r="F14" i="74"/>
  <c r="G14" i="74"/>
  <c r="H14" i="74"/>
  <c r="B15" i="74"/>
  <c r="C15" i="74"/>
  <c r="D15" i="74"/>
  <c r="F15" i="74"/>
  <c r="G15" i="74"/>
  <c r="H15" i="74"/>
  <c r="B16" i="74"/>
  <c r="C16" i="74"/>
  <c r="D16" i="74"/>
  <c r="F16" i="74"/>
  <c r="G16" i="74"/>
  <c r="H16" i="74"/>
  <c r="E18" i="74"/>
  <c r="K18" i="74"/>
  <c r="N18" i="74"/>
  <c r="Q18" i="74"/>
  <c r="A1" i="72"/>
  <c r="A1" i="71"/>
  <c r="B8" i="71"/>
  <c r="B9" i="71" s="1"/>
  <c r="C8" i="71"/>
  <c r="C9" i="71" s="1"/>
  <c r="D8" i="71"/>
  <c r="F8" i="71"/>
  <c r="G8" i="71"/>
  <c r="H8" i="71"/>
  <c r="E9" i="71"/>
  <c r="B10" i="71"/>
  <c r="C10" i="71"/>
  <c r="D10" i="71"/>
  <c r="F10" i="71"/>
  <c r="G10" i="71"/>
  <c r="H10" i="71"/>
  <c r="E11" i="71"/>
  <c r="B12" i="71"/>
  <c r="C12" i="71"/>
  <c r="D12" i="71"/>
  <c r="D11" i="71"/>
  <c r="F12" i="71"/>
  <c r="G12" i="71"/>
  <c r="H12" i="71"/>
  <c r="B15" i="71"/>
  <c r="B16" i="71" s="1"/>
  <c r="B10" i="84" s="1"/>
  <c r="C15" i="71"/>
  <c r="C16" i="71" s="1"/>
  <c r="C10" i="84" s="1"/>
  <c r="D15" i="71"/>
  <c r="F15" i="71"/>
  <c r="G15" i="71"/>
  <c r="H15" i="71"/>
  <c r="B20" i="71"/>
  <c r="C20" i="71"/>
  <c r="D20" i="71"/>
  <c r="F20" i="71"/>
  <c r="G20" i="71"/>
  <c r="H20" i="71"/>
  <c r="B24" i="71"/>
  <c r="C24" i="71"/>
  <c r="D24" i="71"/>
  <c r="F24" i="71"/>
  <c r="G24" i="71"/>
  <c r="H24" i="71"/>
  <c r="A1" i="70"/>
  <c r="B8" i="70"/>
  <c r="B9" i="70" s="1"/>
  <c r="C8" i="70"/>
  <c r="C9" i="70" s="1"/>
  <c r="D8" i="70"/>
  <c r="F8" i="70"/>
  <c r="G8" i="70"/>
  <c r="H8" i="70"/>
  <c r="E9" i="70"/>
  <c r="B10" i="70"/>
  <c r="C10" i="70"/>
  <c r="D10" i="70"/>
  <c r="F10" i="70"/>
  <c r="G10" i="70"/>
  <c r="H10" i="70"/>
  <c r="E11" i="70"/>
  <c r="B12" i="70"/>
  <c r="C12" i="70"/>
  <c r="D12" i="70"/>
  <c r="F12" i="70"/>
  <c r="G12" i="70"/>
  <c r="H12" i="70"/>
  <c r="B14" i="70"/>
  <c r="C14" i="70"/>
  <c r="D14" i="70"/>
  <c r="D30" i="84"/>
  <c r="F14" i="70"/>
  <c r="G14" i="70"/>
  <c r="H14" i="70"/>
  <c r="B15" i="70"/>
  <c r="C15" i="70"/>
  <c r="D15" i="70"/>
  <c r="F15" i="70"/>
  <c r="G15" i="70"/>
  <c r="H15" i="70"/>
  <c r="B20" i="70"/>
  <c r="C20" i="70"/>
  <c r="D20" i="70"/>
  <c r="G20" i="70"/>
  <c r="G21" i="70"/>
  <c r="H20" i="70"/>
  <c r="B24" i="70"/>
  <c r="C24" i="70"/>
  <c r="D24" i="70"/>
  <c r="F24" i="70"/>
  <c r="G24" i="70"/>
  <c r="H24" i="70"/>
  <c r="A1" i="56"/>
  <c r="B8" i="56"/>
  <c r="C8" i="56"/>
  <c r="D8" i="56"/>
  <c r="F8" i="56"/>
  <c r="G8" i="56"/>
  <c r="H8" i="56"/>
  <c r="E9" i="56"/>
  <c r="B10" i="56"/>
  <c r="C10" i="56"/>
  <c r="D10" i="56"/>
  <c r="F10" i="56"/>
  <c r="G10" i="56"/>
  <c r="H10" i="56"/>
  <c r="B12" i="56"/>
  <c r="C12" i="56"/>
  <c r="D12" i="56"/>
  <c r="F12" i="56"/>
  <c r="G12" i="56"/>
  <c r="H12" i="56"/>
  <c r="C14" i="56"/>
  <c r="C29" i="84"/>
  <c r="D14" i="56"/>
  <c r="D29" i="84"/>
  <c r="F14" i="56"/>
  <c r="G14" i="56"/>
  <c r="H14" i="56"/>
  <c r="B15" i="56"/>
  <c r="C15" i="56"/>
  <c r="D15" i="56"/>
  <c r="F15" i="56"/>
  <c r="G15" i="56"/>
  <c r="H15" i="56"/>
  <c r="B20" i="56"/>
  <c r="C20" i="56"/>
  <c r="D20" i="56"/>
  <c r="F20" i="56"/>
  <c r="G20" i="56"/>
  <c r="G21" i="56"/>
  <c r="H20" i="56"/>
  <c r="B24" i="56"/>
  <c r="C24" i="56"/>
  <c r="D24" i="56"/>
  <c r="F24" i="56"/>
  <c r="G24" i="56"/>
  <c r="H24" i="56"/>
  <c r="B8" i="4"/>
  <c r="C8" i="4"/>
  <c r="F8" i="4"/>
  <c r="G8" i="4"/>
  <c r="H8" i="4"/>
  <c r="E9" i="4"/>
  <c r="B10" i="4"/>
  <c r="B14" i="73"/>
  <c r="C10" i="4"/>
  <c r="C14" i="73"/>
  <c r="D14" i="73"/>
  <c r="F10" i="4"/>
  <c r="F14" i="73"/>
  <c r="G10" i="4"/>
  <c r="G14" i="73"/>
  <c r="H10" i="4"/>
  <c r="H14" i="73"/>
  <c r="E11" i="4"/>
  <c r="B12" i="4"/>
  <c r="C12" i="4"/>
  <c r="F12" i="4"/>
  <c r="G12" i="4"/>
  <c r="H12" i="4"/>
  <c r="B14" i="4"/>
  <c r="C14" i="4"/>
  <c r="F14" i="4"/>
  <c r="G14" i="4"/>
  <c r="H14" i="4"/>
  <c r="B15" i="4"/>
  <c r="C15" i="4"/>
  <c r="F15" i="4"/>
  <c r="G15" i="4"/>
  <c r="G34" i="73"/>
  <c r="H15" i="4"/>
  <c r="A1" i="54"/>
  <c r="B8" i="54"/>
  <c r="C8" i="54"/>
  <c r="D8" i="54"/>
  <c r="F8" i="54"/>
  <c r="G8" i="54"/>
  <c r="H8" i="54"/>
  <c r="B9" i="54"/>
  <c r="C9" i="54"/>
  <c r="D9" i="54"/>
  <c r="F9" i="54"/>
  <c r="G9" i="54"/>
  <c r="H9" i="54"/>
  <c r="B10" i="54"/>
  <c r="C10" i="54"/>
  <c r="D10" i="54"/>
  <c r="F10" i="54"/>
  <c r="G10" i="54"/>
  <c r="H10" i="54"/>
  <c r="E11" i="54"/>
  <c r="E18" i="54" s="1"/>
  <c r="E21" i="54" s="1"/>
  <c r="E32" i="54" s="1"/>
  <c r="K11" i="54"/>
  <c r="K18" i="54" s="1"/>
  <c r="K21" i="54" s="1"/>
  <c r="N11" i="54"/>
  <c r="N18" i="54" s="1"/>
  <c r="N21" i="54" s="1"/>
  <c r="N32" i="54" s="1"/>
  <c r="Q11" i="54"/>
  <c r="Q18" i="54" s="1"/>
  <c r="Q21" i="54" s="1"/>
  <c r="Q32" i="54" s="1"/>
  <c r="B13" i="54"/>
  <c r="C13" i="54"/>
  <c r="D13" i="54"/>
  <c r="F13" i="54"/>
  <c r="G13" i="54"/>
  <c r="H13" i="54"/>
  <c r="B14" i="54"/>
  <c r="D14" i="54"/>
  <c r="F14" i="54"/>
  <c r="G14" i="54"/>
  <c r="H14" i="54"/>
  <c r="B15" i="54"/>
  <c r="C15" i="54"/>
  <c r="D15" i="54"/>
  <c r="F15" i="54"/>
  <c r="G15" i="54"/>
  <c r="H15" i="54"/>
  <c r="B16" i="54"/>
  <c r="C16" i="54"/>
  <c r="D16" i="54"/>
  <c r="F16" i="54"/>
  <c r="G16" i="54"/>
  <c r="H16" i="54"/>
  <c r="B17" i="54"/>
  <c r="C17" i="54"/>
  <c r="D17" i="54"/>
  <c r="F17" i="54"/>
  <c r="G17" i="54"/>
  <c r="H17" i="54"/>
  <c r="B20" i="54"/>
  <c r="C20" i="54"/>
  <c r="D20" i="54"/>
  <c r="F20" i="54"/>
  <c r="G20" i="54"/>
  <c r="H20" i="54"/>
  <c r="B26" i="54"/>
  <c r="C26" i="54"/>
  <c r="D26" i="54"/>
  <c r="F26" i="54"/>
  <c r="G26" i="54"/>
  <c r="H26" i="54"/>
  <c r="B24" i="54"/>
  <c r="C24" i="54"/>
  <c r="D24" i="54"/>
  <c r="F24" i="54"/>
  <c r="G24" i="54"/>
  <c r="H24" i="54"/>
  <c r="B28" i="54"/>
  <c r="D28" i="54"/>
  <c r="F28" i="54"/>
  <c r="G28" i="54"/>
  <c r="H28" i="54"/>
  <c r="B29" i="54"/>
  <c r="D29" i="54"/>
  <c r="F29" i="54"/>
  <c r="G29" i="54"/>
  <c r="H29" i="54"/>
  <c r="E33" i="73"/>
  <c r="K33" i="73"/>
  <c r="L33" i="73"/>
  <c r="O33" i="73"/>
  <c r="Q33" i="73"/>
  <c r="I34" i="73"/>
  <c r="K34" i="73"/>
  <c r="L34" i="73"/>
  <c r="N34" i="73"/>
  <c r="Q34" i="73"/>
  <c r="R34" i="73"/>
  <c r="A1" i="65"/>
  <c r="A2" i="65"/>
  <c r="A8" i="65"/>
  <c r="B9" i="65"/>
  <c r="B10" i="65"/>
  <c r="B11" i="65"/>
  <c r="B14" i="65"/>
  <c r="B15" i="65"/>
  <c r="B16" i="65"/>
  <c r="B17" i="65"/>
  <c r="B18" i="65"/>
  <c r="B19" i="65"/>
  <c r="B22" i="65"/>
  <c r="G33" i="73"/>
  <c r="K32" i="84"/>
  <c r="E29" i="72"/>
  <c r="E32" i="84"/>
  <c r="L30" i="84"/>
  <c r="E37" i="70"/>
  <c r="E29" i="70"/>
  <c r="E30" i="84"/>
  <c r="K30" i="84"/>
  <c r="N30" i="84"/>
  <c r="C30" i="84"/>
  <c r="O29" i="84"/>
  <c r="L29" i="84"/>
  <c r="I29" i="84"/>
  <c r="Q29" i="84"/>
  <c r="R33" i="73"/>
  <c r="I33" i="73"/>
  <c r="Q33" i="84"/>
  <c r="Q37" i="84"/>
  <c r="K33" i="84"/>
  <c r="K37" i="84"/>
  <c r="L32" i="84"/>
  <c r="F33" i="73"/>
  <c r="D34" i="73"/>
  <c r="O35" i="73"/>
  <c r="B34" i="73"/>
  <c r="B33" i="73"/>
  <c r="D33" i="73"/>
  <c r="C33" i="73"/>
  <c r="N33" i="73"/>
  <c r="E29" i="4"/>
  <c r="E35" i="73"/>
  <c r="C34" i="73"/>
  <c r="S33" i="84"/>
  <c r="S37" i="84"/>
  <c r="F34" i="73"/>
  <c r="H34" i="73"/>
  <c r="O32" i="84"/>
  <c r="C32" i="84"/>
  <c r="I32" i="84"/>
  <c r="D32" i="84"/>
  <c r="S32" i="84"/>
  <c r="G30" i="84"/>
  <c r="H30" i="84"/>
  <c r="H29" i="84"/>
  <c r="F29" i="84"/>
  <c r="G32" i="84"/>
  <c r="H32" i="84"/>
  <c r="H33" i="84"/>
  <c r="H37" i="84"/>
  <c r="D33" i="84"/>
  <c r="D37" i="84"/>
  <c r="H33" i="73"/>
  <c r="F32" i="84"/>
  <c r="F22" i="73"/>
  <c r="R22" i="73"/>
  <c r="I35" i="73"/>
  <c r="K35" i="73"/>
  <c r="C35" i="73"/>
  <c r="I37" i="84"/>
  <c r="D21" i="73"/>
  <c r="N21" i="73"/>
  <c r="I21" i="73"/>
  <c r="C21" i="73"/>
  <c r="Q21" i="73"/>
  <c r="B21" i="73"/>
  <c r="K21" i="73"/>
  <c r="H21" i="73"/>
  <c r="L21" i="73"/>
  <c r="O21" i="73"/>
  <c r="R21" i="73"/>
  <c r="I22" i="73"/>
  <c r="G22" i="73"/>
  <c r="O22" i="73"/>
  <c r="S22" i="73"/>
  <c r="H22" i="73"/>
  <c r="L22" i="73"/>
  <c r="E20" i="73"/>
  <c r="E21" i="73"/>
  <c r="I7" i="67"/>
  <c r="I9" i="67"/>
  <c r="I11" i="67"/>
  <c r="C22" i="73"/>
  <c r="N22" i="73"/>
  <c r="C25" i="82"/>
  <c r="F23" i="84"/>
  <c r="F9" i="71"/>
  <c r="D38" i="73"/>
  <c r="D22" i="73"/>
  <c r="K22" i="73"/>
  <c r="D23" i="84"/>
  <c r="D35" i="73"/>
  <c r="S35" i="73"/>
  <c r="H35" i="73"/>
  <c r="C38" i="73"/>
  <c r="O38" i="73"/>
  <c r="I42" i="73"/>
  <c r="Q23" i="76"/>
  <c r="J7" i="67"/>
  <c r="L31" i="76"/>
  <c r="C45" i="44"/>
  <c r="E7" i="67"/>
  <c r="E9" i="67"/>
  <c r="E11" i="67"/>
  <c r="E14" i="67"/>
  <c r="G7" i="67"/>
  <c r="H22" i="72"/>
  <c r="G14" i="72"/>
  <c r="D10" i="72"/>
  <c r="G22" i="72"/>
  <c r="G8" i="72"/>
  <c r="H20" i="72"/>
  <c r="G20" i="72"/>
  <c r="H24" i="72"/>
  <c r="F20" i="72"/>
  <c r="D22" i="72"/>
  <c r="D21" i="72"/>
  <c r="H13" i="45"/>
  <c r="H16" i="45"/>
  <c r="H15" i="73"/>
  <c r="G35" i="73"/>
  <c r="N33" i="84"/>
  <c r="N37" i="84"/>
  <c r="N35" i="73"/>
  <c r="B21" i="71"/>
  <c r="G21" i="71"/>
  <c r="F33" i="84"/>
  <c r="F37" i="84"/>
  <c r="E22" i="73"/>
  <c r="E23" i="82"/>
  <c r="E31" i="76"/>
  <c r="O8" i="77"/>
  <c r="I8" i="77"/>
  <c r="Q42" i="73"/>
  <c r="Q40" i="76"/>
  <c r="Q38" i="76"/>
  <c r="Q40" i="73"/>
  <c r="R42" i="73"/>
  <c r="R40" i="73"/>
  <c r="H31" i="76"/>
  <c r="E20" i="74"/>
  <c r="F21" i="56"/>
  <c r="E11" i="72"/>
  <c r="C32" i="85"/>
  <c r="E33" i="57"/>
  <c r="E31" i="57"/>
  <c r="E34" i="57"/>
  <c r="E32" i="57"/>
  <c r="E30" i="57"/>
  <c r="E28" i="57"/>
  <c r="E35" i="57" s="1"/>
  <c r="E10" i="57"/>
  <c r="E8" i="57"/>
  <c r="E10" i="82"/>
  <c r="F11" i="58"/>
  <c r="B33" i="84"/>
  <c r="B37" i="84"/>
  <c r="H14" i="72"/>
  <c r="F10" i="72"/>
  <c r="F14" i="72"/>
  <c r="H8" i="72"/>
  <c r="F8" i="72"/>
  <c r="F15" i="72"/>
  <c r="C24" i="72"/>
  <c r="C20" i="72"/>
  <c r="B20" i="72"/>
  <c r="G15" i="72"/>
  <c r="D24" i="72"/>
  <c r="S26" i="76"/>
  <c r="S42" i="73"/>
  <c r="B26" i="76"/>
  <c r="B27" i="76"/>
  <c r="B42" i="73"/>
  <c r="I22" i="69"/>
  <c r="I26" i="69"/>
  <c r="I30" i="69"/>
  <c r="E22" i="69"/>
  <c r="B22" i="69"/>
  <c r="H22" i="69"/>
  <c r="H26" i="69"/>
  <c r="H30" i="69"/>
  <c r="D22" i="69"/>
  <c r="G22" i="69"/>
  <c r="F22" i="69"/>
  <c r="J22" i="69"/>
  <c r="J26" i="69"/>
  <c r="J30" i="69"/>
  <c r="B23" i="65"/>
  <c r="B24" i="65"/>
  <c r="B25" i="65"/>
  <c r="B26" i="65"/>
  <c r="B29" i="65"/>
  <c r="B30" i="65"/>
  <c r="B31" i="65"/>
  <c r="B32" i="65"/>
  <c r="B35" i="65"/>
  <c r="B36" i="65"/>
  <c r="B37" i="65"/>
  <c r="B38" i="65"/>
  <c r="B39" i="65"/>
  <c r="B40" i="65"/>
  <c r="B41" i="65"/>
  <c r="E23" i="76"/>
  <c r="E26" i="76"/>
  <c r="E27" i="76"/>
  <c r="F42" i="73"/>
  <c r="F40" i="73"/>
  <c r="B38" i="73"/>
  <c r="D18" i="79"/>
  <c r="K38" i="73"/>
  <c r="C9" i="4"/>
  <c r="B21" i="56"/>
  <c r="H21" i="70"/>
  <c r="Q26" i="76"/>
  <c r="H16" i="56"/>
  <c r="H8" i="84"/>
  <c r="F9" i="56"/>
  <c r="C11" i="70"/>
  <c r="K20" i="74"/>
  <c r="C18" i="74"/>
  <c r="C20" i="74" s="1"/>
  <c r="C12" i="74"/>
  <c r="D13" i="45"/>
  <c r="D16" i="45"/>
  <c r="D15" i="73"/>
  <c r="G13" i="45"/>
  <c r="G16" i="45"/>
  <c r="G15" i="73"/>
  <c r="J9" i="67"/>
  <c r="J11" i="67"/>
  <c r="S13" i="73"/>
  <c r="D21" i="56"/>
  <c r="G11" i="71"/>
  <c r="E33" i="84"/>
  <c r="E37" i="84"/>
  <c r="G38" i="73"/>
  <c r="D7" i="67"/>
  <c r="D9" i="67"/>
  <c r="D11" i="67"/>
  <c r="D13" i="73"/>
  <c r="K13" i="73"/>
  <c r="L42" i="73"/>
  <c r="F21" i="71"/>
  <c r="G11" i="56"/>
  <c r="F21" i="4"/>
  <c r="G16" i="71"/>
  <c r="G10" i="84"/>
  <c r="D18" i="74"/>
  <c r="G9" i="72"/>
  <c r="F30" i="85"/>
  <c r="Q31" i="76"/>
  <c r="D8" i="72"/>
  <c r="D9" i="72"/>
  <c r="D15" i="72"/>
  <c r="C10" i="72"/>
  <c r="C8" i="72"/>
  <c r="C9" i="72" s="1"/>
  <c r="B10" i="72"/>
  <c r="F22" i="72"/>
  <c r="F21" i="72"/>
  <c r="G24" i="72"/>
  <c r="G21" i="4"/>
  <c r="F13" i="45"/>
  <c r="F16" i="45"/>
  <c r="F15" i="73"/>
  <c r="F26" i="76"/>
  <c r="F27" i="76"/>
  <c r="B8" i="72"/>
  <c r="D14" i="72"/>
  <c r="E14" i="79"/>
  <c r="D16" i="70"/>
  <c r="D9" i="84"/>
  <c r="D9" i="70"/>
  <c r="J14" i="67"/>
  <c r="L35" i="73"/>
  <c r="E16" i="72"/>
  <c r="E11" i="84"/>
  <c r="E12" i="84"/>
  <c r="E15" i="84"/>
  <c r="E18" i="84"/>
  <c r="E9" i="72"/>
  <c r="G9" i="67"/>
  <c r="G11" i="67"/>
  <c r="G13" i="73"/>
  <c r="O13" i="73"/>
  <c r="B42" i="55"/>
  <c r="H21" i="71"/>
  <c r="C21" i="71"/>
  <c r="B7" i="67"/>
  <c r="B9" i="67"/>
  <c r="B11" i="67"/>
  <c r="B14" i="67"/>
  <c r="R35" i="73"/>
  <c r="H38" i="73"/>
  <c r="G18" i="74"/>
  <c r="S31" i="76"/>
  <c r="H16" i="4"/>
  <c r="D9" i="56"/>
  <c r="E18" i="79"/>
  <c r="E21" i="79" s="1"/>
  <c r="F7" i="67"/>
  <c r="F9" i="67"/>
  <c r="F11" i="67"/>
  <c r="F13" i="73"/>
  <c r="R13" i="73"/>
  <c r="D11" i="4"/>
  <c r="G31" i="76"/>
  <c r="D9" i="4"/>
  <c r="R26" i="76"/>
  <c r="R27" i="76"/>
  <c r="I26" i="76"/>
  <c r="I27" i="76"/>
  <c r="G11" i="4"/>
  <c r="F9" i="4"/>
  <c r="N9" i="72"/>
  <c r="R21" i="72"/>
  <c r="F13" i="58"/>
  <c r="O9" i="72"/>
  <c r="F12" i="58"/>
  <c r="B9" i="4"/>
  <c r="F16" i="70"/>
  <c r="F9" i="84"/>
  <c r="H9" i="70"/>
  <c r="H11" i="71"/>
  <c r="C11" i="71"/>
  <c r="G9" i="71"/>
  <c r="G12" i="74"/>
  <c r="B12" i="74"/>
  <c r="C11" i="4"/>
  <c r="D11" i="56"/>
  <c r="B11" i="56"/>
  <c r="I13" i="73"/>
  <c r="I14" i="67"/>
  <c r="F11" i="70"/>
  <c r="G21" i="72"/>
  <c r="H11" i="4"/>
  <c r="B16" i="70"/>
  <c r="B9" i="84"/>
  <c r="H11" i="70"/>
  <c r="G11" i="70"/>
  <c r="D12" i="74"/>
  <c r="D16" i="56"/>
  <c r="D8" i="84"/>
  <c r="F16" i="56"/>
  <c r="F8" i="84"/>
  <c r="G9" i="56"/>
  <c r="B9" i="56"/>
  <c r="H16" i="71"/>
  <c r="H10" i="84"/>
  <c r="F16" i="71"/>
  <c r="F10" i="84"/>
  <c r="H9" i="71"/>
  <c r="Q20" i="74"/>
  <c r="F18" i="74"/>
  <c r="F12" i="74"/>
  <c r="H12" i="74"/>
  <c r="D14" i="67"/>
  <c r="E13" i="73"/>
  <c r="H9" i="4"/>
  <c r="G16" i="4"/>
  <c r="D21" i="4"/>
  <c r="G12" i="72"/>
  <c r="G16" i="72"/>
  <c r="G11" i="84"/>
  <c r="Q11" i="72"/>
  <c r="F9" i="70"/>
  <c r="R9" i="72"/>
  <c r="S9" i="72"/>
  <c r="D19" i="79"/>
  <c r="G42" i="73"/>
  <c r="G26" i="76"/>
  <c r="G23" i="84"/>
  <c r="H23" i="84"/>
  <c r="S11" i="72"/>
  <c r="G16" i="56"/>
  <c r="G8" i="84"/>
  <c r="H11" i="56"/>
  <c r="G16" i="70"/>
  <c r="G9" i="84"/>
  <c r="B16" i="56"/>
  <c r="B8" i="84"/>
  <c r="B21" i="4"/>
  <c r="H21" i="4"/>
  <c r="C21" i="56"/>
  <c r="H21" i="56"/>
  <c r="D21" i="71"/>
  <c r="F31" i="76"/>
  <c r="B31" i="76"/>
  <c r="K9" i="72"/>
  <c r="Q21" i="72"/>
  <c r="S21" i="72"/>
  <c r="F24" i="72"/>
  <c r="F11" i="4"/>
  <c r="G9" i="4"/>
  <c r="D15" i="58"/>
  <c r="L9" i="72"/>
  <c r="O21" i="72"/>
  <c r="H12" i="72"/>
  <c r="H16" i="70"/>
  <c r="H9" i="84"/>
  <c r="G9" i="70"/>
  <c r="I9" i="72"/>
  <c r="H10" i="72"/>
  <c r="H9" i="72"/>
  <c r="N11" i="72"/>
  <c r="B12" i="72"/>
  <c r="D20" i="72"/>
  <c r="F14" i="67"/>
  <c r="C9" i="56"/>
  <c r="C11" i="56"/>
  <c r="H9" i="56"/>
  <c r="B11" i="70"/>
  <c r="O16" i="72"/>
  <c r="O11" i="84"/>
  <c r="O12" i="84"/>
  <c r="O15" i="84"/>
  <c r="O18" i="84"/>
  <c r="R16" i="72"/>
  <c r="R11" i="84"/>
  <c r="R12" i="84"/>
  <c r="R15" i="84"/>
  <c r="R18" i="84"/>
  <c r="F12" i="72"/>
  <c r="L16" i="72"/>
  <c r="L11" i="84"/>
  <c r="L12" i="84"/>
  <c r="L15" i="84"/>
  <c r="L18" i="84"/>
  <c r="L11" i="72"/>
  <c r="H18" i="74"/>
  <c r="O42" i="73"/>
  <c r="O26" i="76"/>
  <c r="I16" i="72"/>
  <c r="I11" i="84"/>
  <c r="I12" i="84"/>
  <c r="I15" i="84"/>
  <c r="I18" i="84"/>
  <c r="H15" i="72"/>
  <c r="C16" i="70"/>
  <c r="C9" i="84"/>
  <c r="D11" i="70"/>
  <c r="B11" i="71"/>
  <c r="F11" i="71"/>
  <c r="D16" i="4"/>
  <c r="K16" i="72"/>
  <c r="K11" i="84"/>
  <c r="Q16" i="72"/>
  <c r="Q11" i="84"/>
  <c r="Q12" i="84"/>
  <c r="Q15" i="84"/>
  <c r="Q18" i="84"/>
  <c r="I21" i="72"/>
  <c r="L21" i="72"/>
  <c r="F16" i="4"/>
  <c r="E21" i="72"/>
  <c r="B11" i="4"/>
  <c r="C16" i="56"/>
  <c r="C8" i="84"/>
  <c r="F11" i="56"/>
  <c r="H9" i="67"/>
  <c r="H11" i="67"/>
  <c r="O11" i="72"/>
  <c r="Q9" i="72"/>
  <c r="S16" i="72"/>
  <c r="S11" i="84"/>
  <c r="S12" i="84"/>
  <c r="S15" i="84"/>
  <c r="S18" i="84"/>
  <c r="K21" i="72"/>
  <c r="H21" i="72"/>
  <c r="C21" i="79"/>
  <c r="E20" i="79" s="1"/>
  <c r="H26" i="76"/>
  <c r="H27" i="76"/>
  <c r="L8" i="77"/>
  <c r="I11" i="72"/>
  <c r="R8" i="77"/>
  <c r="R11" i="72"/>
  <c r="S20" i="77"/>
  <c r="S23" i="77"/>
  <c r="D24" i="82"/>
  <c r="E26" i="69"/>
  <c r="E30" i="69"/>
  <c r="E29" i="69"/>
  <c r="D26" i="69"/>
  <c r="D30" i="69"/>
  <c r="D29" i="69"/>
  <c r="F26" i="69"/>
  <c r="F30" i="69"/>
  <c r="F29" i="69"/>
  <c r="G26" i="69"/>
  <c r="G30" i="69"/>
  <c r="G29" i="69"/>
  <c r="O26" i="77"/>
  <c r="O17" i="77"/>
  <c r="O20" i="77"/>
  <c r="O23" i="77"/>
  <c r="H34" i="76"/>
  <c r="B13" i="73"/>
  <c r="Q13" i="73"/>
  <c r="B26" i="69"/>
  <c r="B30" i="69"/>
  <c r="B29" i="69"/>
  <c r="F9" i="72"/>
  <c r="L26" i="76"/>
  <c r="B34" i="76"/>
  <c r="H29" i="69"/>
  <c r="J29" i="69"/>
  <c r="I29" i="69"/>
  <c r="E24" i="74"/>
  <c r="E31" i="74"/>
  <c r="E29" i="74"/>
  <c r="O31" i="74"/>
  <c r="O29" i="74"/>
  <c r="S31" i="74"/>
  <c r="S29" i="74"/>
  <c r="I31" i="74"/>
  <c r="I29" i="74"/>
  <c r="L31" i="74"/>
  <c r="L29" i="74"/>
  <c r="R31" i="74"/>
  <c r="R29" i="74"/>
  <c r="Q24" i="74"/>
  <c r="Q31" i="74"/>
  <c r="Q29" i="74"/>
  <c r="K24" i="74"/>
  <c r="K31" i="74"/>
  <c r="K29" i="74"/>
  <c r="E42" i="73"/>
  <c r="L27" i="76"/>
  <c r="L34" i="76"/>
  <c r="G14" i="67"/>
  <c r="F34" i="76"/>
  <c r="D20" i="74"/>
  <c r="D31" i="74"/>
  <c r="D29" i="74"/>
  <c r="Q34" i="76"/>
  <c r="H20" i="74"/>
  <c r="E34" i="76"/>
  <c r="S34" i="76"/>
  <c r="B9" i="72"/>
  <c r="O34" i="76"/>
  <c r="G20" i="74"/>
  <c r="F20" i="74"/>
  <c r="G34" i="76"/>
  <c r="G11" i="72"/>
  <c r="D20" i="79"/>
  <c r="D21" i="79"/>
  <c r="H11" i="72"/>
  <c r="G12" i="84"/>
  <c r="G15" i="84"/>
  <c r="G18" i="84"/>
  <c r="E19" i="79"/>
  <c r="R34" i="76"/>
  <c r="I34" i="76"/>
  <c r="B11" i="72"/>
  <c r="H13" i="73"/>
  <c r="L13" i="73"/>
  <c r="H14" i="67"/>
  <c r="H16" i="72"/>
  <c r="H11" i="84"/>
  <c r="H12" i="84"/>
  <c r="H15" i="84"/>
  <c r="H18" i="84"/>
  <c r="F11" i="72"/>
  <c r="F16" i="72"/>
  <c r="F11" i="84"/>
  <c r="F12" i="84"/>
  <c r="F15" i="84"/>
  <c r="F18" i="84"/>
  <c r="R26" i="77"/>
  <c r="R17" i="77"/>
  <c r="L26" i="77"/>
  <c r="L17" i="77"/>
  <c r="L20" i="77"/>
  <c r="L23" i="77"/>
  <c r="I17" i="77"/>
  <c r="I26" i="77"/>
  <c r="E40" i="73"/>
  <c r="F24" i="74"/>
  <c r="F31" i="74"/>
  <c r="F29" i="74"/>
  <c r="G24" i="74"/>
  <c r="G31" i="74"/>
  <c r="G29" i="74"/>
  <c r="H24" i="74"/>
  <c r="H31" i="74"/>
  <c r="H29" i="74"/>
  <c r="D24" i="74"/>
  <c r="I20" i="77"/>
  <c r="I23" i="77"/>
  <c r="H8" i="77"/>
  <c r="R20" i="77"/>
  <c r="R23" i="77"/>
  <c r="Q8" i="77"/>
  <c r="Q17" i="77"/>
  <c r="H17" i="77"/>
  <c r="H26" i="77"/>
  <c r="G8" i="77"/>
  <c r="H20" i="77"/>
  <c r="H23" i="77"/>
  <c r="N8" i="77"/>
  <c r="K8" i="77"/>
  <c r="Q20" i="77"/>
  <c r="Q23" i="77"/>
  <c r="G26" i="77"/>
  <c r="G17" i="77"/>
  <c r="K17" i="77"/>
  <c r="K20" i="77"/>
  <c r="K23" i="77"/>
  <c r="K26" i="77"/>
  <c r="N26" i="77"/>
  <c r="N17" i="77"/>
  <c r="N20" i="77"/>
  <c r="N23" i="77" s="1"/>
  <c r="G20" i="77"/>
  <c r="G23" i="77"/>
  <c r="F8" i="77"/>
  <c r="F17" i="77"/>
  <c r="E8" i="77"/>
  <c r="F26" i="77"/>
  <c r="F20" i="77"/>
  <c r="F23" i="77"/>
  <c r="E17" i="77"/>
  <c r="D8" i="77"/>
  <c r="E26" i="77"/>
  <c r="E20" i="77"/>
  <c r="E23" i="77"/>
  <c r="D26" i="77"/>
  <c r="D17" i="77"/>
  <c r="C8" i="77"/>
  <c r="C26" i="77"/>
  <c r="D20" i="77"/>
  <c r="D23" i="77"/>
  <c r="D42" i="73"/>
  <c r="D26" i="76"/>
  <c r="D27" i="76"/>
  <c r="D40" i="76"/>
  <c r="D38" i="76"/>
  <c r="D40" i="73"/>
  <c r="D31" i="76"/>
  <c r="K26" i="76"/>
  <c r="K27" i="76"/>
  <c r="K34" i="76"/>
  <c r="K40" i="76"/>
  <c r="K38" i="76"/>
  <c r="K40" i="73"/>
  <c r="K42" i="73"/>
  <c r="K31" i="76"/>
  <c r="K11" i="72"/>
  <c r="C12" i="72"/>
  <c r="D16" i="71"/>
  <c r="D10" i="84"/>
  <c r="D9" i="71"/>
  <c r="K12" i="84"/>
  <c r="K15" i="84"/>
  <c r="K18" i="84"/>
  <c r="D16" i="72"/>
  <c r="D11" i="84"/>
  <c r="D12" i="84"/>
  <c r="D15" i="84"/>
  <c r="D18" i="84"/>
  <c r="D11" i="72"/>
  <c r="D34" i="76"/>
  <c r="C11" i="72"/>
  <c r="H11" i="54" l="1"/>
  <c r="H18" i="54" s="1"/>
  <c r="H21" i="54" s="1"/>
  <c r="H32" i="54" s="1"/>
  <c r="H10" i="83" s="1"/>
  <c r="G11" i="54"/>
  <c r="G18" i="54" s="1"/>
  <c r="G21" i="54" s="1"/>
  <c r="G10" i="73" s="1"/>
  <c r="D11" i="54"/>
  <c r="D18" i="54" s="1"/>
  <c r="D21" i="54" s="1"/>
  <c r="D32" i="54" s="1"/>
  <c r="D11" i="73" s="1"/>
  <c r="F11" i="54"/>
  <c r="F18" i="54" s="1"/>
  <c r="F21" i="54" s="1"/>
  <c r="I8" i="83"/>
  <c r="I32" i="54"/>
  <c r="I11" i="73" s="1"/>
  <c r="I10" i="73"/>
  <c r="C11" i="54"/>
  <c r="C18" i="54" s="1"/>
  <c r="C21" i="54" s="1"/>
  <c r="C11" i="73" s="1"/>
  <c r="K8" i="83"/>
  <c r="K32" i="54"/>
  <c r="K10" i="83" s="1"/>
  <c r="D20" i="82"/>
  <c r="D25" i="82" s="1"/>
  <c r="F32" i="44"/>
  <c r="F10" i="82"/>
  <c r="G11" i="44"/>
  <c r="F17" i="58"/>
  <c r="B11" i="54"/>
  <c r="B18" i="54" s="1"/>
  <c r="B21" i="54" s="1"/>
  <c r="B32" i="54" s="1"/>
  <c r="C42" i="55"/>
  <c r="D45" i="44"/>
  <c r="F11" i="82"/>
  <c r="F31" i="58"/>
  <c r="F20" i="79"/>
  <c r="F13" i="82"/>
  <c r="F19" i="79"/>
  <c r="G15" i="44"/>
  <c r="F16" i="82"/>
  <c r="F10" i="79"/>
  <c r="F27" i="58"/>
  <c r="F12" i="82"/>
  <c r="G10" i="44"/>
  <c r="F17" i="82"/>
  <c r="F16" i="58"/>
  <c r="F9" i="79"/>
  <c r="F26" i="58"/>
  <c r="F19" i="82"/>
  <c r="F18" i="82"/>
  <c r="F14" i="79"/>
  <c r="F18" i="79"/>
  <c r="G14" i="44"/>
  <c r="F15" i="82"/>
  <c r="F29" i="58"/>
  <c r="F8" i="82"/>
  <c r="G12" i="44"/>
  <c r="F23" i="82"/>
  <c r="F25" i="82" s="1"/>
  <c r="F12" i="79"/>
  <c r="G13" i="44"/>
  <c r="G16" i="44"/>
  <c r="F9" i="82"/>
  <c r="F11" i="79"/>
  <c r="F36" i="59"/>
  <c r="C36" i="59"/>
  <c r="C30" i="59"/>
  <c r="E13" i="59"/>
  <c r="E16" i="59"/>
  <c r="E18" i="59"/>
  <c r="E10" i="59"/>
  <c r="E19" i="59" s="1"/>
  <c r="E12" i="59"/>
  <c r="E31" i="58"/>
  <c r="E27" i="58"/>
  <c r="E28" i="58"/>
  <c r="E26" i="58"/>
  <c r="E29" i="58"/>
  <c r="D17" i="58"/>
  <c r="E16" i="58"/>
  <c r="E11" i="58"/>
  <c r="E12" i="58"/>
  <c r="E13" i="58"/>
  <c r="F15" i="58"/>
  <c r="E13" i="79"/>
  <c r="D15" i="79"/>
  <c r="C33" i="85"/>
  <c r="C29" i="85"/>
  <c r="C34" i="85"/>
  <c r="C35" i="85"/>
  <c r="C28" i="85"/>
  <c r="C30" i="85" s="1"/>
  <c r="D19" i="85"/>
  <c r="E11" i="85"/>
  <c r="E16" i="85"/>
  <c r="E12" i="85"/>
  <c r="E17" i="85"/>
  <c r="E18" i="85"/>
  <c r="E14" i="57"/>
  <c r="E9" i="57"/>
  <c r="E15" i="57" s="1"/>
  <c r="E11" i="57"/>
  <c r="E16" i="82"/>
  <c r="E13" i="82"/>
  <c r="E19" i="82"/>
  <c r="E24" i="82"/>
  <c r="E18" i="82"/>
  <c r="E9" i="82"/>
  <c r="E22" i="82"/>
  <c r="E25" i="82" s="1"/>
  <c r="E17" i="82"/>
  <c r="E8" i="82"/>
  <c r="E12" i="82"/>
  <c r="E11" i="82"/>
  <c r="F35" i="44"/>
  <c r="C17" i="77"/>
  <c r="C20" i="77" s="1"/>
  <c r="C23" i="77" s="1"/>
  <c r="C16" i="45"/>
  <c r="C15" i="73" s="1"/>
  <c r="B13" i="45"/>
  <c r="B16" i="45" s="1"/>
  <c r="B15" i="73" s="1"/>
  <c r="C42" i="73"/>
  <c r="C40" i="76"/>
  <c r="C38" i="76" s="1"/>
  <c r="C40" i="73" s="1"/>
  <c r="C26" i="76"/>
  <c r="C27" i="76" s="1"/>
  <c r="C34" i="76" s="1"/>
  <c r="N31" i="76"/>
  <c r="N42" i="73"/>
  <c r="N26" i="76"/>
  <c r="N27" i="76" s="1"/>
  <c r="N34" i="76" s="1"/>
  <c r="N23" i="90"/>
  <c r="B17" i="90"/>
  <c r="B23" i="90" s="1"/>
  <c r="C17" i="90"/>
  <c r="C23" i="90" s="1"/>
  <c r="B18" i="74"/>
  <c r="B20" i="74" s="1"/>
  <c r="B31" i="74" s="1"/>
  <c r="B29" i="74" s="1"/>
  <c r="C24" i="74"/>
  <c r="C31" i="74"/>
  <c r="C29" i="74" s="1"/>
  <c r="N20" i="74"/>
  <c r="B24" i="74"/>
  <c r="N31" i="74"/>
  <c r="N29" i="74" s="1"/>
  <c r="N24" i="74"/>
  <c r="C17" i="69"/>
  <c r="C22" i="69"/>
  <c r="C29" i="69" s="1"/>
  <c r="C7" i="67"/>
  <c r="C9" i="67" s="1"/>
  <c r="C11" i="67" s="1"/>
  <c r="C16" i="4"/>
  <c r="B16" i="4"/>
  <c r="B14" i="72"/>
  <c r="B16" i="72"/>
  <c r="B11" i="84" s="1"/>
  <c r="B12" i="84" s="1"/>
  <c r="B15" i="84" s="1"/>
  <c r="B18" i="84" s="1"/>
  <c r="Q11" i="73"/>
  <c r="Q10" i="73"/>
  <c r="Q8" i="83"/>
  <c r="R8" i="83"/>
  <c r="R10" i="73"/>
  <c r="R10" i="83"/>
  <c r="O8" i="83"/>
  <c r="O10" i="73"/>
  <c r="E10" i="83"/>
  <c r="E8" i="83"/>
  <c r="E10" i="73"/>
  <c r="H8" i="83"/>
  <c r="H10" i="73"/>
  <c r="L10" i="83"/>
  <c r="L10" i="73"/>
  <c r="L8" i="83"/>
  <c r="S8" i="83"/>
  <c r="S10" i="73"/>
  <c r="S11" i="73"/>
  <c r="K10" i="73"/>
  <c r="N16" i="72"/>
  <c r="N11" i="84" s="1"/>
  <c r="N12" i="84" s="1"/>
  <c r="N15" i="84" s="1"/>
  <c r="N18" i="84" s="1"/>
  <c r="C15" i="72"/>
  <c r="C16" i="72" s="1"/>
  <c r="C11" i="84" s="1"/>
  <c r="C12" i="84" s="1"/>
  <c r="C15" i="84" s="1"/>
  <c r="C18" i="84" s="1"/>
  <c r="N8" i="83"/>
  <c r="N10" i="73"/>
  <c r="B22" i="72"/>
  <c r="B21" i="72" s="1"/>
  <c r="N21" i="72"/>
  <c r="G32" i="54" l="1"/>
  <c r="G10" i="83" s="1"/>
  <c r="G8" i="83"/>
  <c r="F10" i="73"/>
  <c r="F32" i="54"/>
  <c r="F10" i="83" s="1"/>
  <c r="F8" i="83"/>
  <c r="K11" i="73"/>
  <c r="I10" i="83"/>
  <c r="D8" i="83"/>
  <c r="D10" i="73"/>
  <c r="C8" i="83"/>
  <c r="C10" i="73"/>
  <c r="E20" i="82"/>
  <c r="F13" i="79"/>
  <c r="F15" i="79"/>
  <c r="F32" i="58"/>
  <c r="F30" i="58"/>
  <c r="F20" i="82"/>
  <c r="F21" i="79"/>
  <c r="G17" i="44"/>
  <c r="E14" i="59"/>
  <c r="B8" i="77"/>
  <c r="C26" i="69"/>
  <c r="C30" i="69" s="1"/>
  <c r="C14" i="67"/>
  <c r="C13" i="73"/>
  <c r="N13" i="73" s="1"/>
  <c r="S10" i="83"/>
  <c r="G11" i="73"/>
  <c r="E11" i="73"/>
  <c r="L11" i="73"/>
  <c r="F11" i="73"/>
  <c r="R11" i="73"/>
  <c r="D10" i="83"/>
  <c r="Q10" i="83"/>
  <c r="O11" i="73"/>
  <c r="O10" i="83"/>
  <c r="H11" i="73"/>
  <c r="B10" i="73"/>
  <c r="B8" i="83"/>
  <c r="C10" i="83"/>
  <c r="N10" i="83"/>
  <c r="N11" i="73"/>
  <c r="B10" i="83"/>
  <c r="B11" i="73"/>
  <c r="B17" i="77" l="1"/>
  <c r="B20" i="77" s="1"/>
  <c r="B23" i="77" s="1"/>
  <c r="B26" i="77"/>
</calcChain>
</file>

<file path=xl/sharedStrings.xml><?xml version="1.0" encoding="utf-8"?>
<sst xmlns="http://schemas.openxmlformats.org/spreadsheetml/2006/main" count="1102" uniqueCount="407">
  <si>
    <t>American Financial Group</t>
  </si>
  <si>
    <t>Summary of Earnings</t>
  </si>
  <si>
    <t>Three Months Ended</t>
  </si>
  <si>
    <t>Twelve Months Ended</t>
  </si>
  <si>
    <t>Total</t>
  </si>
  <si>
    <t>Other</t>
  </si>
  <si>
    <t>Six Months Ended</t>
  </si>
  <si>
    <t>Nine Months Ended</t>
  </si>
  <si>
    <t>Consolidated Balance Sheet</t>
  </si>
  <si>
    <t>Goodwill</t>
  </si>
  <si>
    <t xml:space="preserve">      Carrying Value</t>
  </si>
  <si>
    <t>Unrealized</t>
  </si>
  <si>
    <t>Cost</t>
  </si>
  <si>
    <t>Gain (Loss)</t>
  </si>
  <si>
    <t>($ in millions)</t>
  </si>
  <si>
    <t>Portfolio</t>
  </si>
  <si>
    <t>Gross investment income</t>
  </si>
  <si>
    <t>% of</t>
  </si>
  <si>
    <t>Page</t>
  </si>
  <si>
    <t>Nine months ended</t>
  </si>
  <si>
    <t>Six months ended</t>
  </si>
  <si>
    <t>Amortized</t>
  </si>
  <si>
    <t>Fair Value</t>
  </si>
  <si>
    <t>US Government and government agencies</t>
  </si>
  <si>
    <t>States, municipalities and political subdivisions</t>
  </si>
  <si>
    <t>Foreign government</t>
  </si>
  <si>
    <t>Corporate bonds</t>
  </si>
  <si>
    <t xml:space="preserve">     Manufacturing</t>
  </si>
  <si>
    <t xml:space="preserve">     Banks, lending and credit institutions</t>
  </si>
  <si>
    <t xml:space="preserve">     Gas and electric services</t>
  </si>
  <si>
    <t xml:space="preserve">     Insurance and insurance related</t>
  </si>
  <si>
    <t xml:space="preserve">  Residential</t>
  </si>
  <si>
    <t xml:space="preserve">     Agency</t>
  </si>
  <si>
    <t xml:space="preserve">     Alt-A</t>
  </si>
  <si>
    <t xml:space="preserve">     Subprime</t>
  </si>
  <si>
    <t xml:space="preserve">  Commercial</t>
  </si>
  <si>
    <t>GAAP Data</t>
  </si>
  <si>
    <t xml:space="preserve">     AAA</t>
  </si>
  <si>
    <t xml:space="preserve">     AA</t>
  </si>
  <si>
    <t xml:space="preserve">     A</t>
  </si>
  <si>
    <t xml:space="preserve">     BBB</t>
  </si>
  <si>
    <t xml:space="preserve">     BB</t>
  </si>
  <si>
    <t xml:space="preserve">     B</t>
  </si>
  <si>
    <t xml:space="preserve">     Other</t>
  </si>
  <si>
    <t>Statutory Data</t>
  </si>
  <si>
    <t>By NAIC</t>
  </si>
  <si>
    <t>Carrying</t>
  </si>
  <si>
    <t>Value</t>
  </si>
  <si>
    <t>Change in unearned premiums</t>
  </si>
  <si>
    <t>American Financial Group, Inc.</t>
  </si>
  <si>
    <t>Corporate Headquarters</t>
  </si>
  <si>
    <t>Great American Insurance Group Tower</t>
  </si>
  <si>
    <t>301 E Fourth Street</t>
  </si>
  <si>
    <t>Cincinnati, OH 45202</t>
  </si>
  <si>
    <t>Section</t>
  </si>
  <si>
    <t>Special A&amp;E charges</t>
  </si>
  <si>
    <t>Specialty Casualty - Underwriting Results (GAAP)</t>
  </si>
  <si>
    <t>Specialty Financial - Underwriting Results (GAAP)</t>
  </si>
  <si>
    <t>Other Specialty - Underwriting Results (GAAP)</t>
  </si>
  <si>
    <t>Financial Highlights</t>
  </si>
  <si>
    <t>Consolidated Balance Sheet / Book Value / Debt</t>
  </si>
  <si>
    <t>($ in millions )</t>
  </si>
  <si>
    <t>Intangibles</t>
  </si>
  <si>
    <t>Core net operating earnings per share</t>
  </si>
  <si>
    <t>Diluted earnings per share</t>
  </si>
  <si>
    <t xml:space="preserve">Underwriting profit </t>
  </si>
  <si>
    <t>Other expense</t>
  </si>
  <si>
    <t>Pre-tax core operating earnings</t>
  </si>
  <si>
    <t>Income tax expense</t>
  </si>
  <si>
    <t>Core net operating earnings</t>
  </si>
  <si>
    <t xml:space="preserve">Non-core items, net of tax:  </t>
  </si>
  <si>
    <t xml:space="preserve">Significant A&amp;E charges:  </t>
  </si>
  <si>
    <t xml:space="preserve">Net earnings </t>
  </si>
  <si>
    <t>Average number of diluted shares</t>
  </si>
  <si>
    <t>Other core charges</t>
  </si>
  <si>
    <t>Underwriting profit (loss)</t>
  </si>
  <si>
    <t>Combined ratio</t>
  </si>
  <si>
    <t>Underwriting profit</t>
  </si>
  <si>
    <t>Assets of managed investment entities</t>
  </si>
  <si>
    <t>Other assets</t>
  </si>
  <si>
    <t>Total assets</t>
  </si>
  <si>
    <t>Unpaid losses and loss adjustment expenses</t>
  </si>
  <si>
    <t>Unearned premiums</t>
  </si>
  <si>
    <t>Annuity benefits accumulated</t>
  </si>
  <si>
    <t>Long-term debt</t>
  </si>
  <si>
    <t>Liabilities of managed investment entities</t>
  </si>
  <si>
    <t>Other liabilities</t>
  </si>
  <si>
    <t>Total liabilities</t>
  </si>
  <si>
    <t>Total shareholders' equity</t>
  </si>
  <si>
    <t>Common stock</t>
  </si>
  <si>
    <t>Capital surplus</t>
  </si>
  <si>
    <t>Appropriated retained earnings</t>
  </si>
  <si>
    <t>Other comprehensive income, net of tax</t>
  </si>
  <si>
    <t>Unrealized (gains) on fixed maturities</t>
  </si>
  <si>
    <t>Market capitalization</t>
  </si>
  <si>
    <t>Total revenues</t>
  </si>
  <si>
    <t>Total costs and expenses</t>
  </si>
  <si>
    <t>Premiums</t>
  </si>
  <si>
    <t>Embedded derivative mark-to-market</t>
  </si>
  <si>
    <t>Change in other benefit reserves</t>
  </si>
  <si>
    <t>Unlockings</t>
  </si>
  <si>
    <t>Ending fixed annuity reserves</t>
  </si>
  <si>
    <t>Subtotal fixed annuity premiums</t>
  </si>
  <si>
    <t xml:space="preserve">Average annuity benefits accumulated </t>
  </si>
  <si>
    <t>Net investment income (as % of investments)</t>
  </si>
  <si>
    <t>Other annuity benefit expenses, net</t>
  </si>
  <si>
    <t>Change in fair value of derivatives</t>
  </si>
  <si>
    <t>Interest credited - fixed</t>
  </si>
  <si>
    <t>Equity option mark-to-market</t>
  </si>
  <si>
    <t>Change in expected death and annuitization reserve</t>
  </si>
  <si>
    <t>Amortization of sales inducements</t>
  </si>
  <si>
    <t>Net interest spread</t>
  </si>
  <si>
    <t>Net spread earned on fixed annuities</t>
  </si>
  <si>
    <t>Highlights</t>
  </si>
  <si>
    <t>Per share data</t>
  </si>
  <si>
    <t>Financial ratios</t>
  </si>
  <si>
    <t>Annuity statutory premiums</t>
  </si>
  <si>
    <t>12/31/13</t>
  </si>
  <si>
    <t>Interest expense of parent holding companies</t>
  </si>
  <si>
    <t>Net Spread on Fixed Annuities (GAAP)</t>
  </si>
  <si>
    <t>Variable annuities</t>
  </si>
  <si>
    <t>Total annuity premiums</t>
  </si>
  <si>
    <t>Noncontrolling interests</t>
  </si>
  <si>
    <t>Total liabilities and equity</t>
  </si>
  <si>
    <t>Equity securities</t>
  </si>
  <si>
    <t>Policy loans</t>
  </si>
  <si>
    <t>Mortgage loans</t>
  </si>
  <si>
    <t>Real estate and other investments</t>
  </si>
  <si>
    <t>NAIC 1</t>
  </si>
  <si>
    <t>NAIC 2</t>
  </si>
  <si>
    <t>NAIC 3</t>
  </si>
  <si>
    <t>NAIC 4</t>
  </si>
  <si>
    <t>NAIC 5</t>
  </si>
  <si>
    <t>NAIC 6</t>
  </si>
  <si>
    <t>Annuity Premiums (Statutory)</t>
  </si>
  <si>
    <t xml:space="preserve"> If two agencies rate a security, the rating displayed above is the lower of the two; if three or more </t>
  </si>
  <si>
    <t xml:space="preserve"> agencies rate a security, the rating displayed is the second lowest.</t>
  </si>
  <si>
    <t xml:space="preserve">  by senior tranches of securitizations.</t>
  </si>
  <si>
    <t>- Substantially all of AFG's MBS securities are either senior tranches of securitizations or collateralized</t>
  </si>
  <si>
    <t>Total current accident year catastrophe losses</t>
  </si>
  <si>
    <t>Consolidated Investment Supplement</t>
  </si>
  <si>
    <t>Loss and LAE components:</t>
  </si>
  <si>
    <t>Unrealized gains - fixed maturities</t>
  </si>
  <si>
    <t>Unrealized gains - equities</t>
  </si>
  <si>
    <t>Net investment income</t>
  </si>
  <si>
    <t>Asset-backed securities</t>
  </si>
  <si>
    <t>Other investments</t>
  </si>
  <si>
    <t>Investment expenses</t>
  </si>
  <si>
    <t>Net earnings</t>
  </si>
  <si>
    <t>Net spread on fixed annuities:</t>
  </si>
  <si>
    <t>Annuity earnings</t>
  </si>
  <si>
    <t>Property and Casualty Insurance</t>
  </si>
  <si>
    <t>Earnings Per Share Summary</t>
  </si>
  <si>
    <t>Specialty - Underwriting Results (GAAP)</t>
  </si>
  <si>
    <t>Loss and LAE</t>
  </si>
  <si>
    <t>Combined ratio - Specialty</t>
  </si>
  <si>
    <t>Property and Transportation - Underwriting Results (GAAP)</t>
  </si>
  <si>
    <t>Earnings on fixed annuity benefits accumulated</t>
  </si>
  <si>
    <t>Variable annuity earnings</t>
  </si>
  <si>
    <t>Interest credited</t>
  </si>
  <si>
    <t>Fixed component of variable annuities</t>
  </si>
  <si>
    <t>Deferred policy acquisition costs</t>
  </si>
  <si>
    <t>Shareholders' equity</t>
  </si>
  <si>
    <t>Shareholders' equity, excluding appropriated retained earnings</t>
  </si>
  <si>
    <t>Adjusted shareholders' equity</t>
  </si>
  <si>
    <t>Tangible adjusted shareholders' equity</t>
  </si>
  <si>
    <t>Book value per share:</t>
  </si>
  <si>
    <t>Capitalization</t>
  </si>
  <si>
    <t>Residential mortgage-backed securities</t>
  </si>
  <si>
    <t>Commercial mortgage-backed securities</t>
  </si>
  <si>
    <t>Investment</t>
  </si>
  <si>
    <t>0%</t>
  </si>
  <si>
    <t>Equity Securities</t>
  </si>
  <si>
    <t>(in millions, except per share information)</t>
  </si>
  <si>
    <t>Loss and LAE ratio</t>
  </si>
  <si>
    <t>Total cash and investments</t>
  </si>
  <si>
    <t xml:space="preserve">Recoverables from reinsurers </t>
  </si>
  <si>
    <t>Prepaid reinsurance premiums</t>
  </si>
  <si>
    <t>Other receivables</t>
  </si>
  <si>
    <t>Variable annuity assets (separate accounts)</t>
  </si>
  <si>
    <t>Agents' balances and premiums receivable</t>
  </si>
  <si>
    <t>Life, accident and health reserves</t>
  </si>
  <si>
    <t>Payable to reinsurers</t>
  </si>
  <si>
    <t>Variable annuity liabilities (separate accounts)</t>
  </si>
  <si>
    <t>Unappropriated retained earnings</t>
  </si>
  <si>
    <t>Cash and cash equivalents</t>
  </si>
  <si>
    <t>Total net investment income</t>
  </si>
  <si>
    <t>Fixed Maturities - By Security Type - AFG Consolidated</t>
  </si>
  <si>
    <t>Total AFG consolidated</t>
  </si>
  <si>
    <t>Fixed Maturities - Credit Rating and NAIC Designation</t>
  </si>
  <si>
    <t xml:space="preserve">% of </t>
  </si>
  <si>
    <t>Mortgage-Backed Securities - Credit Rating and NAIC Designation</t>
  </si>
  <si>
    <t>Excluding investment expense (a)</t>
  </si>
  <si>
    <t>Net of investment expense (a)</t>
  </si>
  <si>
    <t>Approximate average life and duration:</t>
  </si>
  <si>
    <t>Approximate duration</t>
  </si>
  <si>
    <t>Corporate debt</t>
  </si>
  <si>
    <t>Mortgage-Backed Securities Portfolio</t>
  </si>
  <si>
    <t>Policy charges and other miscellaneous income</t>
  </si>
  <si>
    <t>Total cash and investments:</t>
  </si>
  <si>
    <t>Surrenders, benefits and other withdrawals</t>
  </si>
  <si>
    <t>Interest and other annuity benefit expenses:</t>
  </si>
  <si>
    <t>% of Carrying</t>
  </si>
  <si>
    <t>Mortgage-Backed Securities - AFG Consolidated</t>
  </si>
  <si>
    <t>Impact of unrealized investment gains on reserves</t>
  </si>
  <si>
    <t>Fixed Annuity Benefits Accumulated (GAAP)</t>
  </si>
  <si>
    <t>Annuity Segment</t>
  </si>
  <si>
    <t>Adjusted shareholders' equity (a)</t>
  </si>
  <si>
    <t>Adjusted book value per share (a)</t>
  </si>
  <si>
    <t>Loss &amp; LAE ratio</t>
  </si>
  <si>
    <t>Current accident year catastrophe losses:</t>
  </si>
  <si>
    <t>Catastrophe reinstatement premium</t>
  </si>
  <si>
    <t>Catastrophe loss</t>
  </si>
  <si>
    <t>Combined ratio:</t>
  </si>
  <si>
    <t>Current accident year catastrophe loss</t>
  </si>
  <si>
    <t>Gross written premiums</t>
  </si>
  <si>
    <t>Ceded reinsurance premiums</t>
  </si>
  <si>
    <t>Net written premiums</t>
  </si>
  <si>
    <t>Net earned premiums</t>
  </si>
  <si>
    <t>Included in results above:</t>
  </si>
  <si>
    <t>Current accident year, excluding catastrophe loss</t>
  </si>
  <si>
    <t>Net interest spread on fixed annuities</t>
  </si>
  <si>
    <t>of beginning reserves</t>
  </si>
  <si>
    <t>Annualized surrenders and other withdrawals as a %</t>
  </si>
  <si>
    <t>Property and</t>
  </si>
  <si>
    <t>Annuity and</t>
  </si>
  <si>
    <t>Total AFG</t>
  </si>
  <si>
    <t>Consolidated</t>
  </si>
  <si>
    <t>Consolidate</t>
  </si>
  <si>
    <t>CLOs</t>
  </si>
  <si>
    <t>513 579 6739</t>
  </si>
  <si>
    <t>Guaranteed withdrawal benefit fees</t>
  </si>
  <si>
    <t>Guaranteed withdrawal benefit reserve</t>
  </si>
  <si>
    <t>Diluted earnings per share:</t>
  </si>
  <si>
    <t>Assets:</t>
  </si>
  <si>
    <t>Liabilities and Equity:</t>
  </si>
  <si>
    <t>Shareholders' equity:</t>
  </si>
  <si>
    <t>Common shares outstanding</t>
  </si>
  <si>
    <t>AFG's closing common share price</t>
  </si>
  <si>
    <t xml:space="preserve">     Other corporate</t>
  </si>
  <si>
    <t>Property and Casualty Insurance Segment</t>
  </si>
  <si>
    <t>Property and Casualty Insurance - Summary Underwriting Results (GAAP)</t>
  </si>
  <si>
    <t>Fixed Maturities - By Security Type Portfolio</t>
  </si>
  <si>
    <t>Investment grade</t>
  </si>
  <si>
    <t>Approximate average life</t>
  </si>
  <si>
    <t>5 years</t>
  </si>
  <si>
    <t>Cash dividends per common share</t>
  </si>
  <si>
    <t>Special A&amp;E charges, included in loss and LAE</t>
  </si>
  <si>
    <t>Retail single premium annuities - indexed</t>
  </si>
  <si>
    <t>Retail single premium annuities - fixed</t>
  </si>
  <si>
    <t>Financial institutions single premium annuities - indexed</t>
  </si>
  <si>
    <t>Financial institutions single premium annuities - fixed</t>
  </si>
  <si>
    <t>Book Value Per Share and Price / Book Summary</t>
  </si>
  <si>
    <t>Excluding appropriated retained earnings (a)</t>
  </si>
  <si>
    <t>Adjusted (b)</t>
  </si>
  <si>
    <t>Tangible, adjusted (c)</t>
  </si>
  <si>
    <t>(b) Excludes appropriated retained earnings and unrealized gains related to fixed maturity investments.</t>
  </si>
  <si>
    <t>Price / Adjusted book value ratio</t>
  </si>
  <si>
    <t>Interest credited - fixed component of variable annuities</t>
  </si>
  <si>
    <t>Loss and LAE components - property and casualty insurance</t>
  </si>
  <si>
    <t>GAAP data</t>
  </si>
  <si>
    <t>Statutory data</t>
  </si>
  <si>
    <t xml:space="preserve">  Subtotal - investment grade</t>
  </si>
  <si>
    <t>Average fixed annuity investments (at amortized cost)</t>
  </si>
  <si>
    <t>As % of average annuity benefits accumulated (except as noted)</t>
  </si>
  <si>
    <t>Acquisition expenses</t>
  </si>
  <si>
    <t>Other expenses</t>
  </si>
  <si>
    <t>Beginning fixed annuity reserves</t>
  </si>
  <si>
    <t>Annuity benefits accumulated per balance sheet</t>
  </si>
  <si>
    <t>Investments in excess of annuity benefits accumulated</t>
  </si>
  <si>
    <t>Property and Casualty combined ratio - Specialty:</t>
  </si>
  <si>
    <t>Property and Casualty net written premiums</t>
  </si>
  <si>
    <t xml:space="preserve">Property and Casualty Insurance operating earnings </t>
  </si>
  <si>
    <t xml:space="preserve">Former Railroad and Manufacturing operations </t>
  </si>
  <si>
    <t>Former Railroad and Manufacturing operations</t>
  </si>
  <si>
    <t>Property and Transportation</t>
  </si>
  <si>
    <t>Specialty Casualty</t>
  </si>
  <si>
    <t>Specialty Financial</t>
  </si>
  <si>
    <t>Other Specialty</t>
  </si>
  <si>
    <t>Underwriting profit - Specialty</t>
  </si>
  <si>
    <t>Underwriting profit - Core</t>
  </si>
  <si>
    <t xml:space="preserve">Combined ratio - Specialty </t>
  </si>
  <si>
    <t>Casualty</t>
  </si>
  <si>
    <t>Insurance</t>
  </si>
  <si>
    <t>Run-off</t>
  </si>
  <si>
    <t>Annuity and Run-off</t>
  </si>
  <si>
    <t>Annuity and Run-off:</t>
  </si>
  <si>
    <t>Property and Casualty Insurance:</t>
  </si>
  <si>
    <t>Total Annuity and Run-off</t>
  </si>
  <si>
    <t>By Credit Rating</t>
  </si>
  <si>
    <t>Designation</t>
  </si>
  <si>
    <t>By Asset Type</t>
  </si>
  <si>
    <t>Total Property and Casualty Insurance</t>
  </si>
  <si>
    <t xml:space="preserve">     Prime (Non-Agency)</t>
  </si>
  <si>
    <t xml:space="preserve">  Subtotal - Residential</t>
  </si>
  <si>
    <t xml:space="preserve">  Subtotal - Investment grade</t>
  </si>
  <si>
    <t>(a) Excludes appropriated retained earnings.</t>
  </si>
  <si>
    <t>Reconciliation to annuity benefits accumulated:</t>
  </si>
  <si>
    <t>(c) Excludes appropriated retained earnings, unrealized gains related to fixed maturity investments, goodwill and intangibles.</t>
  </si>
  <si>
    <t>Underwriting expense</t>
  </si>
  <si>
    <t>Underwriting expense ratio</t>
  </si>
  <si>
    <t>Paid Losses (GAAP)</t>
  </si>
  <si>
    <t>Statutory Surplus</t>
  </si>
  <si>
    <t>AFG's principal annuity subsidiaries (total adjusted capital)</t>
  </si>
  <si>
    <t>Allowable dividends without regulatory approval</t>
  </si>
  <si>
    <t xml:space="preserve">Total </t>
  </si>
  <si>
    <t>Additional Supplemental Information</t>
  </si>
  <si>
    <t>Federal Home Loan Bank advances</t>
  </si>
  <si>
    <t xml:space="preserve">Property and Casualty Insurance run-off operations </t>
  </si>
  <si>
    <t>Property and Casualty Insurance run-off operations</t>
  </si>
  <si>
    <t>Earnings on investments in excess of annuity benefits accumulated</t>
  </si>
  <si>
    <t>Earnings before income taxes - core</t>
  </si>
  <si>
    <t>ELNY guaranty fund assessments charge (a)</t>
  </si>
  <si>
    <t xml:space="preserve">(a) Annualized yield is calculated by dividing investment income for the quarter by the average cost over the quarter.  </t>
  </si>
  <si>
    <t>Total quarterly net investment income:</t>
  </si>
  <si>
    <t>Total Cash and Investments and Quarterly Net Investment Income</t>
  </si>
  <si>
    <t xml:space="preserve">     Average cost is the average of the beginning and ending quarter asset balances.</t>
  </si>
  <si>
    <t xml:space="preserve">     Life Insurance Company of New York, an unaffiliated life insurance company.</t>
  </si>
  <si>
    <t xml:space="preserve">(a) The ELNY guaranty fund assessments charge represent guaranty fund assessments in connection with the insolvency and liquidation of Executive </t>
  </si>
  <si>
    <t>6.5 years</t>
  </si>
  <si>
    <t>7 years</t>
  </si>
  <si>
    <t>3.5 years</t>
  </si>
  <si>
    <t>12/31/14</t>
  </si>
  <si>
    <t>09/30/14</t>
  </si>
  <si>
    <t>06/30/14</t>
  </si>
  <si>
    <t>03/31/14</t>
  </si>
  <si>
    <t>Fixed maturities - Available for sale</t>
  </si>
  <si>
    <t>Fixed maturities - Trading</t>
  </si>
  <si>
    <t>Equity in investees</t>
  </si>
  <si>
    <t>(b) Adjusts the yield on tax-exempt bonds to the fully taxable equivalent yield.</t>
  </si>
  <si>
    <t>Tax equivalent, net of investment expense (b)</t>
  </si>
  <si>
    <t>Annualized yield on available for sale fixed maturities:</t>
  </si>
  <si>
    <t>Annualized core operating return on equity (b)</t>
  </si>
  <si>
    <t>Annualized return on equity (b)</t>
  </si>
  <si>
    <t>(b) Excludes appropriated retained earnings and accumulated other comprehensive income.</t>
  </si>
  <si>
    <t>(a) Excludes appropriated retained earnings and unrealized gains related to fixed maturity investments.</t>
  </si>
  <si>
    <t>Medicare Supplement and Critical Illness earnings</t>
  </si>
  <si>
    <t>Net spread earned:</t>
  </si>
  <si>
    <t>Before impact of fair value accounting</t>
  </si>
  <si>
    <t>After impact of fair value accounting</t>
  </si>
  <si>
    <t>Net spread earned core - before impact of fair value accounting</t>
  </si>
  <si>
    <t>Subtotal before impact of fair value accounting</t>
  </si>
  <si>
    <t>Underwriting profit - Property and Casualty Insurance</t>
  </si>
  <si>
    <t>(c) Change in fair value of derivatives offset by the estimated related adjustments to amortization of deferred sales inducements and deferred policy acquisition costs.</t>
  </si>
  <si>
    <t>Impact of fair value accounting (c)</t>
  </si>
  <si>
    <t>AFG senior obligations</t>
  </si>
  <si>
    <t>AFG subordinated debentures</t>
  </si>
  <si>
    <t>Obligations of subsidiaries - secured by real estate</t>
  </si>
  <si>
    <t>Obligations of subsidiaries - other</t>
  </si>
  <si>
    <t>Total Long-term debt</t>
  </si>
  <si>
    <t>Less:</t>
  </si>
  <si>
    <t xml:space="preserve">  Appropriated retained earnings</t>
  </si>
  <si>
    <t xml:space="preserve">  Unrealized gains related to fixed maturity investments</t>
  </si>
  <si>
    <t>Total adjusted capital</t>
  </si>
  <si>
    <t>Total adjusted capital excluding obligations secured by real estate</t>
  </si>
  <si>
    <t>Ratio of debt to total adjusted capital:</t>
  </si>
  <si>
    <t>Net spread earned core - after impact of fair value accounting</t>
  </si>
  <si>
    <t>Borrowings drawn under credit facility</t>
  </si>
  <si>
    <t>Including subordinated debt &amp; debt secured by real estate</t>
  </si>
  <si>
    <t xml:space="preserve">Excluding subordinated debt &amp; debt secured by real estate </t>
  </si>
  <si>
    <t>Debt excluding subordinated debt &amp; debt secured by real estate</t>
  </si>
  <si>
    <t>Payable to subsidiary trusts - subordinated</t>
  </si>
  <si>
    <t>Annuity Earnings (GAAP)</t>
  </si>
  <si>
    <t>Core Annuity earnings before income taxes</t>
  </si>
  <si>
    <t>ELNY guaranty fund assessments charge before income tax (a)</t>
  </si>
  <si>
    <t>Core earnings before income taxes and impact of fair value accounting</t>
  </si>
  <si>
    <t>Annuity benefits expense</t>
  </si>
  <si>
    <t>Detail of Annuity Benefits Expense (GAAP)</t>
  </si>
  <si>
    <t>Detail of annuity benefits expense:</t>
  </si>
  <si>
    <t>Total annuity benefits expense</t>
  </si>
  <si>
    <t>Net spread earned on fixed annuities - core</t>
  </si>
  <si>
    <t>Detail of net spread earned on fixed annuities - core</t>
  </si>
  <si>
    <t>Detail of core Annuity earnings before income taxes</t>
  </si>
  <si>
    <t>(a) Change in fair value of derivatives offset by the estimated related adjustments to amortization of deferred sales inducements and deferred policy acquisition costs.</t>
  </si>
  <si>
    <t>Impact of fair value accounting (a)</t>
  </si>
  <si>
    <t>Subtotal impact of fair value accounting</t>
  </si>
  <si>
    <t>Prior year loss reserve development (favorable) / adverse</t>
  </si>
  <si>
    <t>Combined ratio excl. catastrophe and prior year development</t>
  </si>
  <si>
    <t>Prior accident year loss reserve development</t>
  </si>
  <si>
    <t>Run-off Long-Term Care and Life (losses)/earnings</t>
  </si>
  <si>
    <t>Unlockings (a)</t>
  </si>
  <si>
    <t>Embedded derivative mark-to-market (b)</t>
  </si>
  <si>
    <t>(a)  Includes unlockings for fixed indexed annuity embedded derivative reserves, sales inducement asset and other reserves.  Does not include unlocking</t>
  </si>
  <si>
    <t>Education market - fixed and indexed annuities</t>
  </si>
  <si>
    <t>12/31/15</t>
  </si>
  <si>
    <t>09/30/15</t>
  </si>
  <si>
    <t>06/30/15</t>
  </si>
  <si>
    <t>03/31/15</t>
  </si>
  <si>
    <t>Other core charges, included in loss and LAE</t>
  </si>
  <si>
    <t>Run-off*</t>
  </si>
  <si>
    <t xml:space="preserve">  insurance subsidiaries, which are being sold.</t>
  </si>
  <si>
    <t xml:space="preserve">*Total cash and investments in Annuity and Run-off segment includes $1.37 billion in cash and investments held by AFG's two long-term care </t>
  </si>
  <si>
    <t>- 99.7% of our Commercial MBS portfolio is investment-grade rated (84% AAA) and the average</t>
  </si>
  <si>
    <t xml:space="preserve">   subordination for this group of assets is 39%.</t>
  </si>
  <si>
    <t xml:space="preserve">      charge of $10mm in the 4th quarter of 2014 for deferred policy acquisition costs and unearned revenue reserves.  These unlockings are included in</t>
  </si>
  <si>
    <t xml:space="preserve">      acquisition expenses.  In total AFG recorded an unlocking expense reduction of $1mm in the 4th quarter of 2014.</t>
  </si>
  <si>
    <t xml:space="preserve">     </t>
  </si>
  <si>
    <t>Investor Supplement - Third Quarter 2015</t>
  </si>
  <si>
    <t>September 30, 2015</t>
  </si>
  <si>
    <t>- The average amortized cost as a percent of par is - Prime 82%; Alt-A 77%; Subprime 86%; CMBS 99%.</t>
  </si>
  <si>
    <t>- The average FICO score of our residential MBS securities is - Prime 741; Alt-A 712; Subprime 637.</t>
  </si>
  <si>
    <t>- The approximate average life by collateral type is - Residential 5.0 years; Commercial 3.0 years.</t>
  </si>
  <si>
    <t>1%</t>
  </si>
  <si>
    <t>(b)  Excludes unlocking impact of ($58mm) in the 4th quarter of 2014.</t>
  </si>
  <si>
    <t>Loss on sale of long-term care business</t>
  </si>
  <si>
    <t>Gain on sale of hotel property</t>
  </si>
  <si>
    <t>Other realized gains (losses)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</si>
</sst>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mm/dd/yy;@"/>
    <numFmt numFmtId="166" formatCode="mmmm\ d\,\ yyyy"/>
    <numFmt numFmtId="167" formatCode="_(* 0.00%_);_(* \(0.00%\)"/>
    <numFmt numFmtId="168" formatCode="_(* 0.0%_);_(* \(0.0%\)"/>
    <numFmt numFmtId="169" formatCode="_(* 0%_);_(* \(0%\)"/>
    <numFmt numFmtId="170" formatCode="_(* #,##0.000_);_(* \(#,##0.000\);_(* &quot;-&quot;??_);_(@_)"/>
    <numFmt numFmtId="171" formatCode="_(* #,##0.00_);_(* \(#,##0.00\);_(* &quot;-&quot;_);_(@_)"/>
  </numFmts>
  <fonts count="59" x14ac:knownFonts="1">
    <font>
      <sz val="12"/>
      <color indexed="8"/>
      <name val="Helv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Helv"/>
    </font>
    <font>
      <sz val="10"/>
      <name val="Arial Narrow"/>
      <family val="2"/>
    </font>
    <font>
      <sz val="10"/>
      <name val="Arial Narrow"/>
      <family val="2"/>
    </font>
    <font>
      <sz val="12"/>
      <color indexed="8"/>
      <name val="Arial"/>
      <family val="2"/>
    </font>
    <font>
      <sz val="14"/>
      <name val="Arial Narrow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u/>
      <sz val="12"/>
      <color indexed="8"/>
      <name val="Arial"/>
      <family val="2"/>
    </font>
    <font>
      <u/>
      <sz val="12"/>
      <color indexed="8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b/>
      <u val="doubleAccounting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 val="doubleAccounting"/>
      <sz val="12"/>
      <name val="Arial"/>
      <family val="2"/>
    </font>
    <font>
      <u val="double"/>
      <sz val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u val="singleAccounting"/>
      <sz val="12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sz val="12"/>
      <color indexed="8"/>
      <name val="Helv"/>
    </font>
    <font>
      <b/>
      <u val="double"/>
      <sz val="12"/>
      <name val="Arial"/>
      <family val="2"/>
    </font>
    <font>
      <u val="double"/>
      <sz val="12"/>
      <color indexed="8"/>
      <name val="Arial"/>
      <family val="2"/>
    </font>
    <font>
      <b/>
      <u val="double"/>
      <sz val="12"/>
      <color indexed="8"/>
      <name val="Arial"/>
      <family val="2"/>
    </font>
    <font>
      <u val="singleAccounting"/>
      <sz val="12"/>
      <color indexed="8"/>
      <name val="Arial"/>
      <family val="2"/>
    </font>
    <font>
      <u val="singleAccounting"/>
      <sz val="12"/>
      <color indexed="8"/>
      <name val="Helv"/>
    </font>
    <font>
      <b/>
      <sz val="8"/>
      <name val="Arial"/>
      <family val="2"/>
    </font>
    <font>
      <b/>
      <u val="doubleAccounting"/>
      <sz val="12"/>
      <color indexed="8"/>
      <name val="Arial"/>
      <family val="2"/>
    </font>
    <font>
      <b/>
      <sz val="10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rgb="FF3964B2"/>
      <name val="Arial"/>
      <family val="2"/>
    </font>
    <font>
      <b/>
      <sz val="11"/>
      <color rgb="FF465264"/>
      <name val="Arial"/>
      <family val="2"/>
    </font>
    <font>
      <sz val="11"/>
      <color rgb="FF465264"/>
      <name val="Arial"/>
      <family val="2"/>
    </font>
    <font>
      <b/>
      <sz val="16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rgb="FF1F497D"/>
      <name val="Arial"/>
      <family val="2"/>
    </font>
    <font>
      <sz val="11"/>
      <name val="Arial"/>
      <family val="2"/>
    </font>
    <font>
      <b/>
      <sz val="18"/>
      <color rgb="FFFF0000"/>
      <name val="Calibri"/>
      <family val="2"/>
      <scheme val="minor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0">
    <xf numFmtId="0" fontId="0" fillId="0" borderId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0" borderId="0"/>
    <xf numFmtId="0" fontId="8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1" applyAlignment="0">
      <alignment horizontal="center"/>
    </xf>
  </cellStyleXfs>
  <cellXfs count="503">
    <xf numFmtId="0" fontId="0" fillId="0" borderId="0" xfId="0"/>
    <xf numFmtId="0" fontId="6" fillId="0" borderId="0" xfId="0" applyFont="1"/>
    <xf numFmtId="43" fontId="11" fillId="0" borderId="0" xfId="0" applyNumberFormat="1" applyFont="1" applyFill="1" applyBorder="1" applyProtection="1"/>
    <xf numFmtId="43" fontId="16" fillId="0" borderId="0" xfId="0" applyNumberFormat="1" applyFont="1" applyFill="1" applyBorder="1" applyProtection="1"/>
    <xf numFmtId="41" fontId="8" fillId="0" borderId="0" xfId="20" applyNumberFormat="1" applyFont="1" applyFill="1" applyAlignment="1"/>
    <xf numFmtId="41" fontId="19" fillId="0" borderId="0" xfId="20" applyNumberFormat="1" applyFont="1" applyFill="1" applyAlignment="1"/>
    <xf numFmtId="41" fontId="19" fillId="0" borderId="0" xfId="20" applyNumberFormat="1" applyFont="1" applyFill="1" applyBorder="1" applyAlignment="1"/>
    <xf numFmtId="41" fontId="19" fillId="0" borderId="0" xfId="0" applyNumberFormat="1" applyFont="1" applyFill="1" applyAlignment="1"/>
    <xf numFmtId="41" fontId="8" fillId="0" borderId="0" xfId="0" applyNumberFormat="1" applyFont="1" applyFill="1"/>
    <xf numFmtId="41" fontId="19" fillId="0" borderId="0" xfId="0" applyNumberFormat="1" applyFont="1" applyFill="1" applyAlignment="1">
      <alignment horizontal="center"/>
    </xf>
    <xf numFmtId="41" fontId="19" fillId="0" borderId="0" xfId="0" quotePrefix="1" applyNumberFormat="1" applyFont="1" applyFill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29" fillId="0" borderId="0" xfId="0" applyNumberFormat="1" applyFont="1" applyFill="1" applyAlignment="1">
      <alignment horizontal="right"/>
    </xf>
    <xf numFmtId="41" fontId="8" fillId="0" borderId="0" xfId="20" applyNumberFormat="1" applyFont="1" applyFill="1" applyBorder="1" applyAlignment="1"/>
    <xf numFmtId="41" fontId="8" fillId="0" borderId="0" xfId="20" applyNumberFormat="1" applyFont="1" applyFill="1" applyBorder="1" applyAlignment="1">
      <alignment horizontal="center"/>
    </xf>
    <xf numFmtId="41" fontId="9" fillId="0" borderId="0" xfId="0" applyNumberFormat="1" applyFont="1" applyFill="1" applyProtection="1"/>
    <xf numFmtId="41" fontId="6" fillId="0" borderId="0" xfId="0" quotePrefix="1" applyNumberFormat="1" applyFont="1" applyFill="1" applyAlignment="1" applyProtection="1">
      <alignment horizontal="left"/>
    </xf>
    <xf numFmtId="41" fontId="11" fillId="0" borderId="0" xfId="0" applyNumberFormat="1" applyFont="1" applyFill="1" applyProtection="1"/>
    <xf numFmtId="41" fontId="11" fillId="0" borderId="0" xfId="0" applyNumberFormat="1" applyFont="1" applyFill="1" applyBorder="1" applyProtection="1"/>
    <xf numFmtId="41" fontId="6" fillId="0" borderId="0" xfId="0" applyNumberFormat="1" applyFont="1" applyBorder="1" applyProtection="1"/>
    <xf numFmtId="41" fontId="6" fillId="0" borderId="0" xfId="0" applyNumberFormat="1" applyFont="1" applyFill="1" applyProtection="1"/>
    <xf numFmtId="41" fontId="17" fillId="0" borderId="0" xfId="0" applyNumberFormat="1" applyFont="1" applyFill="1" applyBorder="1" applyProtection="1"/>
    <xf numFmtId="42" fontId="11" fillId="0" borderId="0" xfId="0" applyNumberFormat="1" applyFont="1" applyFill="1" applyProtection="1"/>
    <xf numFmtId="42" fontId="11" fillId="0" borderId="0" xfId="0" quotePrefix="1" applyNumberFormat="1" applyFont="1" applyFill="1" applyBorder="1" applyAlignment="1" applyProtection="1">
      <alignment horizontal="left"/>
    </xf>
    <xf numFmtId="0" fontId="39" fillId="0" borderId="0" xfId="0" applyFont="1" applyFill="1" applyAlignment="1">
      <alignment horizontal="left" indent="1"/>
    </xf>
    <xf numFmtId="0" fontId="39" fillId="0" borderId="0" xfId="0" applyFont="1" applyFill="1"/>
    <xf numFmtId="0" fontId="39" fillId="0" borderId="0" xfId="0" applyFont="1" applyFill="1" applyAlignment="1">
      <alignment horizontal="left"/>
    </xf>
    <xf numFmtId="18" fontId="39" fillId="0" borderId="0" xfId="0" applyNumberFormat="1" applyFont="1" applyFill="1" applyAlignment="1">
      <alignment horizontal="left"/>
    </xf>
    <xf numFmtId="0" fontId="40" fillId="0" borderId="0" xfId="0" applyFont="1" applyFill="1"/>
    <xf numFmtId="165" fontId="39" fillId="0" borderId="0" xfId="0" applyNumberFormat="1" applyFont="1" applyFill="1" applyAlignment="1">
      <alignment horizontal="left"/>
    </xf>
    <xf numFmtId="0" fontId="41" fillId="0" borderId="0" xfId="0" applyFont="1" applyFill="1"/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0" fillId="0" borderId="0" xfId="0" applyFont="1" applyFill="1" applyAlignment="1">
      <alignment horizontal="left"/>
    </xf>
    <xf numFmtId="0" fontId="43" fillId="0" borderId="0" xfId="0" applyFont="1" applyFill="1"/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38" fontId="46" fillId="0" borderId="0" xfId="0" applyNumberFormat="1" applyFont="1" applyFill="1" applyBorder="1" applyAlignment="1">
      <alignment horizontal="left" vertical="center"/>
    </xf>
    <xf numFmtId="38" fontId="42" fillId="0" borderId="0" xfId="0" applyNumberFormat="1" applyFont="1" applyFill="1" applyBorder="1" applyAlignment="1">
      <alignment horizontal="left" vertical="center"/>
    </xf>
    <xf numFmtId="166" fontId="47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0" fontId="39" fillId="0" borderId="0" xfId="0" applyFont="1" applyFill="1" applyAlignment="1"/>
    <xf numFmtId="42" fontId="11" fillId="0" borderId="0" xfId="0" applyNumberFormat="1" applyFont="1" applyFill="1"/>
    <xf numFmtId="42" fontId="11" fillId="0" borderId="0" xfId="0" applyNumberFormat="1" applyFont="1" applyFill="1" applyBorder="1"/>
    <xf numFmtId="42" fontId="11" fillId="0" borderId="0" xfId="0" applyNumberFormat="1" applyFont="1" applyFill="1" applyBorder="1" applyProtection="1"/>
    <xf numFmtId="41" fontId="11" fillId="0" borderId="0" xfId="0" applyNumberFormat="1" applyFont="1" applyFill="1"/>
    <xf numFmtId="41" fontId="16" fillId="0" borderId="0" xfId="0" applyNumberFormat="1" applyFont="1" applyFill="1"/>
    <xf numFmtId="44" fontId="11" fillId="0" borderId="0" xfId="0" applyNumberFormat="1" applyFont="1" applyFill="1"/>
    <xf numFmtId="41" fontId="11" fillId="0" borderId="0" xfId="0" applyNumberFormat="1" applyFont="1" applyFill="1" applyAlignment="1">
      <alignment vertical="center"/>
    </xf>
    <xf numFmtId="41" fontId="16" fillId="0" borderId="0" xfId="0" applyNumberFormat="1" applyFont="1" applyFill="1" applyAlignment="1">
      <alignment vertical="center"/>
    </xf>
    <xf numFmtId="41" fontId="6" fillId="0" borderId="0" xfId="0" applyNumberFormat="1" applyFont="1"/>
    <xf numFmtId="0" fontId="20" fillId="0" borderId="0" xfId="0" applyFont="1"/>
    <xf numFmtId="0" fontId="8" fillId="0" borderId="0" xfId="0" applyFont="1"/>
    <xf numFmtId="0" fontId="17" fillId="0" borderId="0" xfId="0" applyFont="1"/>
    <xf numFmtId="0" fontId="28" fillId="0" borderId="0" xfId="0" applyFont="1" applyAlignment="1">
      <alignment horizontal="center" wrapText="1"/>
    </xf>
    <xf numFmtId="38" fontId="8" fillId="0" borderId="0" xfId="0" applyNumberFormat="1" applyFont="1"/>
    <xf numFmtId="41" fontId="8" fillId="0" borderId="0" xfId="0" applyNumberFormat="1" applyFont="1" applyAlignment="1"/>
    <xf numFmtId="41" fontId="8" fillId="0" borderId="0" xfId="0" applyNumberFormat="1" applyFont="1"/>
    <xf numFmtId="164" fontId="11" fillId="0" borderId="0" xfId="0" applyNumberFormat="1" applyFont="1" applyFill="1" applyBorder="1" applyProtection="1"/>
    <xf numFmtId="164" fontId="11" fillId="0" borderId="0" xfId="0" applyNumberFormat="1" applyFont="1" applyFill="1" applyProtection="1"/>
    <xf numFmtId="41" fontId="11" fillId="0" borderId="0" xfId="22" applyNumberFormat="1" applyFont="1" applyFill="1" applyProtection="1"/>
    <xf numFmtId="41" fontId="11" fillId="0" borderId="0" xfId="22" quotePrefix="1" applyNumberFormat="1" applyFont="1" applyFill="1" applyAlignment="1" applyProtection="1">
      <alignment horizontal="left"/>
    </xf>
    <xf numFmtId="41" fontId="11" fillId="0" borderId="0" xfId="22" applyNumberFormat="1" applyFont="1" applyFill="1" applyBorder="1" applyProtection="1"/>
    <xf numFmtId="41" fontId="16" fillId="0" borderId="0" xfId="22" applyNumberFormat="1" applyFont="1" applyFill="1" applyBorder="1" applyProtection="1"/>
    <xf numFmtId="42" fontId="11" fillId="0" borderId="0" xfId="3" applyNumberFormat="1" applyFont="1" applyFill="1" applyProtection="1"/>
    <xf numFmtId="41" fontId="16" fillId="0" borderId="0" xfId="22" applyNumberFormat="1" applyFont="1" applyFill="1" applyProtection="1"/>
    <xf numFmtId="0" fontId="8" fillId="0" borderId="0" xfId="0" applyFont="1" applyAlignment="1">
      <alignment horizontal="center"/>
    </xf>
    <xf numFmtId="41" fontId="27" fillId="0" borderId="0" xfId="0" quotePrefix="1" applyNumberFormat="1" applyFont="1" applyFill="1" applyBorder="1" applyAlignment="1" applyProtection="1">
      <alignment horizontal="center"/>
    </xf>
    <xf numFmtId="41" fontId="17" fillId="0" borderId="0" xfId="0" applyNumberFormat="1" applyFont="1" applyFill="1" applyBorder="1" applyAlignment="1" applyProtection="1">
      <alignment horizontal="center"/>
    </xf>
    <xf numFmtId="42" fontId="6" fillId="0" borderId="0" xfId="0" applyNumberFormat="1" applyFont="1" applyBorder="1"/>
    <xf numFmtId="42" fontId="6" fillId="0" borderId="2" xfId="0" applyNumberFormat="1" applyFont="1" applyBorder="1"/>
    <xf numFmtId="41" fontId="6" fillId="0" borderId="0" xfId="0" applyNumberFormat="1" applyFont="1" applyBorder="1"/>
    <xf numFmtId="41" fontId="6" fillId="0" borderId="2" xfId="0" applyNumberFormat="1" applyFont="1" applyBorder="1"/>
    <xf numFmtId="44" fontId="6" fillId="0" borderId="0" xfId="0" applyNumberFormat="1" applyFont="1" applyBorder="1"/>
    <xf numFmtId="44" fontId="6" fillId="0" borderId="2" xfId="0" applyNumberFormat="1" applyFont="1" applyBorder="1"/>
    <xf numFmtId="43" fontId="6" fillId="0" borderId="0" xfId="0" applyNumberFormat="1" applyFont="1" applyBorder="1"/>
    <xf numFmtId="43" fontId="6" fillId="0" borderId="2" xfId="0" applyNumberFormat="1" applyFont="1" applyBorder="1"/>
    <xf numFmtId="41" fontId="6" fillId="0" borderId="3" xfId="0" applyNumberFormat="1" applyFont="1" applyBorder="1"/>
    <xf numFmtId="41" fontId="6" fillId="0" borderId="4" xfId="0" applyNumberFormat="1" applyFont="1" applyBorder="1"/>
    <xf numFmtId="41" fontId="6" fillId="0" borderId="5" xfId="0" applyNumberFormat="1" applyFont="1" applyBorder="1"/>
    <xf numFmtId="41" fontId="6" fillId="0" borderId="6" xfId="0" applyNumberFormat="1" applyFont="1" applyBorder="1"/>
    <xf numFmtId="44" fontId="18" fillId="0" borderId="0" xfId="0" applyNumberFormat="1" applyFont="1" applyFill="1" applyProtection="1"/>
    <xf numFmtId="41" fontId="27" fillId="0" borderId="0" xfId="0" quotePrefix="1" applyNumberFormat="1" applyFont="1" applyFill="1" applyBorder="1" applyAlignment="1">
      <alignment horizontal="center"/>
    </xf>
    <xf numFmtId="41" fontId="16" fillId="0" borderId="0" xfId="0" applyNumberFormat="1" applyFont="1" applyFill="1" applyProtection="1"/>
    <xf numFmtId="41" fontId="16" fillId="0" borderId="0" xfId="0" quotePrefix="1" applyNumberFormat="1" applyFont="1" applyFill="1" applyBorder="1" applyAlignment="1" applyProtection="1">
      <alignment horizontal="left"/>
    </xf>
    <xf numFmtId="41" fontId="17" fillId="0" borderId="0" xfId="0" applyNumberFormat="1" applyFont="1" applyFill="1" applyProtection="1"/>
    <xf numFmtId="41" fontId="16" fillId="0" borderId="0" xfId="0" applyNumberFormat="1" applyFont="1" applyFill="1" applyBorder="1" applyProtection="1"/>
    <xf numFmtId="42" fontId="18" fillId="0" borderId="0" xfId="0" applyNumberFormat="1" applyFont="1" applyFill="1" applyBorder="1" applyProtection="1"/>
    <xf numFmtId="42" fontId="17" fillId="0" borderId="0" xfId="0" applyNumberFormat="1" applyFont="1" applyFill="1" applyProtection="1"/>
    <xf numFmtId="42" fontId="17" fillId="0" borderId="0" xfId="0" applyNumberFormat="1" applyFont="1" applyFill="1" applyBorder="1" applyProtection="1"/>
    <xf numFmtId="43" fontId="11" fillId="0" borderId="0" xfId="0" applyNumberFormat="1" applyFont="1" applyFill="1"/>
    <xf numFmtId="41" fontId="17" fillId="0" borderId="0" xfId="0" applyNumberFormat="1" applyFont="1" applyFill="1"/>
    <xf numFmtId="42" fontId="18" fillId="0" borderId="0" xfId="0" applyNumberFormat="1" applyFont="1" applyFill="1"/>
    <xf numFmtId="42" fontId="11" fillId="0" borderId="0" xfId="0" applyNumberFormat="1" applyFont="1" applyFill="1" applyAlignment="1">
      <alignment vertical="center"/>
    </xf>
    <xf numFmtId="41" fontId="11" fillId="0" borderId="0" xfId="0" applyNumberFormat="1" applyFont="1" applyFill="1" applyBorder="1"/>
    <xf numFmtId="41" fontId="17" fillId="0" borderId="0" xfId="0" applyNumberFormat="1" applyFont="1" applyFill="1" applyAlignment="1">
      <alignment horizontal="right"/>
    </xf>
    <xf numFmtId="41" fontId="27" fillId="0" borderId="0" xfId="0" applyNumberFormat="1" applyFont="1" applyFill="1" applyAlignment="1">
      <alignment horizontal="right"/>
    </xf>
    <xf numFmtId="41" fontId="16" fillId="0" borderId="0" xfId="0" applyNumberFormat="1" applyFont="1" applyFill="1" applyBorder="1"/>
    <xf numFmtId="41" fontId="17" fillId="0" borderId="0" xfId="0" applyNumberFormat="1" applyFont="1" applyFill="1" applyAlignment="1"/>
    <xf numFmtId="41" fontId="17" fillId="0" borderId="0" xfId="0" applyNumberFormat="1" applyFont="1" applyFill="1" applyAlignment="1">
      <alignment horizontal="center"/>
    </xf>
    <xf numFmtId="41" fontId="17" fillId="0" borderId="0" xfId="0" quotePrefix="1" applyNumberFormat="1" applyFont="1" applyFill="1" applyAlignment="1"/>
    <xf numFmtId="41" fontId="17" fillId="0" borderId="0" xfId="0" quotePrefix="1" applyNumberFormat="1" applyFont="1" applyFill="1" applyAlignment="1">
      <alignment horizontal="center"/>
    </xf>
    <xf numFmtId="41" fontId="27" fillId="0" borderId="0" xfId="20" applyNumberFormat="1" applyFont="1" applyFill="1" applyAlignment="1"/>
    <xf numFmtId="41" fontId="11" fillId="0" borderId="0" xfId="20" applyNumberFormat="1" applyFont="1" applyFill="1" applyAlignment="1"/>
    <xf numFmtId="41" fontId="17" fillId="0" borderId="0" xfId="20" applyNumberFormat="1" applyFont="1" applyFill="1" applyAlignment="1"/>
    <xf numFmtId="41" fontId="27" fillId="0" borderId="0" xfId="20" applyNumberFormat="1" applyFont="1" applyFill="1" applyAlignment="1">
      <alignment horizontal="centerContinuous"/>
    </xf>
    <xf numFmtId="41" fontId="17" fillId="0" borderId="0" xfId="20" applyNumberFormat="1" applyFont="1" applyFill="1" applyAlignment="1">
      <alignment horizontal="right"/>
    </xf>
    <xf numFmtId="41" fontId="17" fillId="0" borderId="0" xfId="20" applyNumberFormat="1" applyFont="1" applyFill="1" applyBorder="1" applyAlignment="1">
      <alignment horizontal="right"/>
    </xf>
    <xf numFmtId="41" fontId="27" fillId="0" borderId="0" xfId="20" applyNumberFormat="1" applyFont="1" applyFill="1" applyAlignment="1">
      <alignment horizontal="right"/>
    </xf>
    <xf numFmtId="41" fontId="16" fillId="0" borderId="0" xfId="20" applyNumberFormat="1" applyFont="1" applyFill="1" applyBorder="1" applyAlignment="1"/>
    <xf numFmtId="41" fontId="11" fillId="0" borderId="0" xfId="20" applyNumberFormat="1" applyFont="1" applyFill="1" applyBorder="1" applyAlignment="1"/>
    <xf numFmtId="41" fontId="27" fillId="0" borderId="0" xfId="20" applyNumberFormat="1" applyFont="1" applyFill="1" applyBorder="1" applyAlignment="1">
      <alignment horizontal="right"/>
    </xf>
    <xf numFmtId="41" fontId="27" fillId="0" borderId="0" xfId="20" applyNumberFormat="1" applyFont="1" applyFill="1" applyBorder="1" applyAlignment="1">
      <alignment horizontal="centerContinuous"/>
    </xf>
    <xf numFmtId="41" fontId="27" fillId="0" borderId="0" xfId="20" applyNumberFormat="1" applyFont="1" applyFill="1" applyBorder="1" applyAlignment="1"/>
    <xf numFmtId="41" fontId="11" fillId="0" borderId="0" xfId="20" applyNumberFormat="1" applyFont="1" applyFill="1" applyBorder="1" applyAlignment="1">
      <alignment wrapText="1"/>
    </xf>
    <xf numFmtId="41" fontId="17" fillId="0" borderId="0" xfId="20" applyNumberFormat="1" applyFont="1" applyFill="1" applyBorder="1" applyAlignment="1"/>
    <xf numFmtId="41" fontId="27" fillId="0" borderId="0" xfId="20" applyNumberFormat="1" applyFont="1" applyFill="1" applyBorder="1" applyAlignment="1">
      <alignment horizontal="left"/>
    </xf>
    <xf numFmtId="41" fontId="11" fillId="0" borderId="0" xfId="20" quotePrefix="1" applyNumberFormat="1" applyFont="1" applyFill="1" applyBorder="1" applyAlignment="1">
      <alignment horizontal="left" indent="1"/>
    </xf>
    <xf numFmtId="41" fontId="11" fillId="0" borderId="0" xfId="20" applyNumberFormat="1" applyFont="1" applyFill="1" applyBorder="1" applyAlignment="1">
      <alignment horizontal="left" indent="1"/>
    </xf>
    <xf numFmtId="44" fontId="17" fillId="0" borderId="0" xfId="0" applyNumberFormat="1" applyFont="1" applyFill="1" applyProtection="1"/>
    <xf numFmtId="168" fontId="11" fillId="0" borderId="0" xfId="26" applyNumberFormat="1" applyFont="1" applyFill="1"/>
    <xf numFmtId="168" fontId="11" fillId="0" borderId="0" xfId="26" applyNumberFormat="1" applyFont="1" applyFill="1" applyBorder="1"/>
    <xf numFmtId="168" fontId="22" fillId="0" borderId="0" xfId="26" applyNumberFormat="1" applyFont="1" applyFill="1"/>
    <xf numFmtId="168" fontId="22" fillId="0" borderId="0" xfId="26" applyNumberFormat="1" applyFont="1" applyFill="1" applyBorder="1"/>
    <xf numFmtId="168" fontId="31" fillId="0" borderId="0" xfId="26" applyNumberFormat="1" applyFont="1" applyFill="1" applyBorder="1"/>
    <xf numFmtId="168" fontId="17" fillId="0" borderId="0" xfId="26" applyNumberFormat="1" applyFont="1" applyFill="1" applyBorder="1"/>
    <xf numFmtId="168" fontId="6" fillId="0" borderId="0" xfId="26" applyNumberFormat="1" applyFont="1"/>
    <xf numFmtId="168" fontId="15" fillId="0" borderId="0" xfId="26" applyNumberFormat="1" applyFont="1" applyFill="1"/>
    <xf numFmtId="168" fontId="33" fillId="0" borderId="0" xfId="26" applyNumberFormat="1" applyFont="1"/>
    <xf numFmtId="41" fontId="2" fillId="0" borderId="0" xfId="0" applyNumberFormat="1" applyFont="1" applyFill="1" applyAlignment="1">
      <alignment horizontal="left"/>
    </xf>
    <xf numFmtId="41" fontId="20" fillId="0" borderId="0" xfId="0" applyNumberFormat="1" applyFont="1" applyFill="1" applyAlignment="1">
      <alignment horizontal="centerContinuous"/>
    </xf>
    <xf numFmtId="41" fontId="20" fillId="0" borderId="0" xfId="0" applyNumberFormat="1" applyFont="1" applyFill="1" applyBorder="1" applyAlignment="1">
      <alignment horizontal="centerContinuous"/>
    </xf>
    <xf numFmtId="41" fontId="13" fillId="0" borderId="0" xfId="0" applyNumberFormat="1" applyFont="1" applyFill="1" applyAlignment="1">
      <alignment horizontal="centerContinuous"/>
    </xf>
    <xf numFmtId="41" fontId="1" fillId="0" borderId="0" xfId="0" applyNumberFormat="1" applyFont="1" applyFill="1" applyBorder="1"/>
    <xf numFmtId="41" fontId="13" fillId="0" borderId="0" xfId="0" applyNumberFormat="1" applyFont="1" applyFill="1" applyBorder="1"/>
    <xf numFmtId="41" fontId="9" fillId="0" borderId="0" xfId="0" applyNumberFormat="1" applyFont="1" applyFill="1" applyAlignment="1">
      <alignment horizontal="centerContinuous"/>
    </xf>
    <xf numFmtId="41" fontId="17" fillId="0" borderId="0" xfId="0" applyNumberFormat="1" applyFont="1" applyFill="1" applyAlignment="1">
      <alignment horizontal="centerContinuous"/>
    </xf>
    <xf numFmtId="41" fontId="17" fillId="0" borderId="0" xfId="0" applyNumberFormat="1" applyFont="1" applyFill="1" applyBorder="1" applyAlignment="1">
      <alignment horizontal="centerContinuous"/>
    </xf>
    <xf numFmtId="41" fontId="11" fillId="0" borderId="0" xfId="0" applyNumberFormat="1" applyFont="1" applyFill="1" applyAlignment="1">
      <alignment horizontal="centerContinuous"/>
    </xf>
    <xf numFmtId="41" fontId="11" fillId="0" borderId="0" xfId="0" applyNumberFormat="1" applyFont="1" applyFill="1" applyBorder="1" applyAlignment="1">
      <alignment horizontal="centerContinuous"/>
    </xf>
    <xf numFmtId="41" fontId="0" fillId="0" borderId="0" xfId="0" applyNumberFormat="1"/>
    <xf numFmtId="41" fontId="6" fillId="0" borderId="0" xfId="0" applyNumberFormat="1" applyFont="1" applyFill="1" applyBorder="1"/>
    <xf numFmtId="41" fontId="6" fillId="0" borderId="0" xfId="0" applyNumberFormat="1" applyFont="1" applyFill="1"/>
    <xf numFmtId="41" fontId="17" fillId="0" borderId="5" xfId="0" quotePrefix="1" applyNumberFormat="1" applyFont="1" applyFill="1" applyBorder="1" applyAlignment="1" applyProtection="1">
      <alignment horizontal="centerContinuous"/>
    </xf>
    <xf numFmtId="41" fontId="17" fillId="0" borderId="5" xfId="0" applyNumberFormat="1" applyFont="1" applyFill="1" applyBorder="1" applyAlignment="1" applyProtection="1">
      <alignment horizontal="centerContinuous"/>
    </xf>
    <xf numFmtId="41" fontId="17" fillId="0" borderId="0" xfId="0" quotePrefix="1" applyNumberFormat="1" applyFont="1" applyFill="1" applyBorder="1" applyAlignment="1" applyProtection="1">
      <alignment horizontal="center"/>
      <protection locked="0"/>
    </xf>
    <xf numFmtId="41" fontId="17" fillId="0" borderId="5" xfId="0" quotePrefix="1" applyNumberFormat="1" applyFont="1" applyFill="1" applyBorder="1" applyAlignment="1" applyProtection="1">
      <alignment horizontal="centerContinuous"/>
      <protection locked="0"/>
    </xf>
    <xf numFmtId="41" fontId="17" fillId="0" borderId="5" xfId="0" applyNumberFormat="1" applyFont="1" applyFill="1" applyBorder="1" applyAlignment="1" applyProtection="1">
      <alignment horizontal="centerContinuous"/>
      <protection locked="0"/>
    </xf>
    <xf numFmtId="41" fontId="9" fillId="0" borderId="0" xfId="0" applyNumberFormat="1" applyFont="1" applyFill="1"/>
    <xf numFmtId="41" fontId="17" fillId="0" borderId="0" xfId="0" applyNumberFormat="1" applyFont="1" applyFill="1" applyBorder="1"/>
    <xf numFmtId="41" fontId="6" fillId="0" borderId="0" xfId="0" quotePrefix="1" applyNumberFormat="1" applyFont="1" applyFill="1" applyAlignment="1">
      <alignment horizontal="left"/>
    </xf>
    <xf numFmtId="41" fontId="6" fillId="0" borderId="0" xfId="0" applyNumberFormat="1" applyFont="1" applyFill="1" applyAlignment="1">
      <alignment horizontal="left"/>
    </xf>
    <xf numFmtId="41" fontId="9" fillId="0" borderId="0" xfId="0" quotePrefix="1" applyNumberFormat="1" applyFont="1" applyFill="1" applyAlignment="1">
      <alignment horizontal="left"/>
    </xf>
    <xf numFmtId="41" fontId="30" fillId="0" borderId="0" xfId="0" applyNumberFormat="1" applyFont="1"/>
    <xf numFmtId="41" fontId="9" fillId="0" borderId="0" xfId="0" applyNumberFormat="1" applyFont="1" applyFill="1" applyBorder="1"/>
    <xf numFmtId="41" fontId="23" fillId="0" borderId="0" xfId="0" applyNumberFormat="1" applyFont="1" applyFill="1" applyBorder="1"/>
    <xf numFmtId="41" fontId="0" fillId="0" borderId="0" xfId="0" applyNumberFormat="1" applyFill="1"/>
    <xf numFmtId="41" fontId="11" fillId="0" borderId="0" xfId="0" quotePrefix="1" applyNumberFormat="1" applyFont="1" applyFill="1" applyAlignment="1">
      <alignment horizontal="left"/>
    </xf>
    <xf numFmtId="41" fontId="12" fillId="0" borderId="0" xfId="0" applyNumberFormat="1" applyFont="1" applyFill="1" applyAlignment="1">
      <alignment horizontal="left"/>
    </xf>
    <xf numFmtId="41" fontId="19" fillId="0" borderId="0" xfId="26" applyNumberFormat="1" applyFont="1" applyFill="1" applyBorder="1"/>
    <xf numFmtId="41" fontId="19" fillId="0" borderId="0" xfId="26" applyNumberFormat="1" applyFont="1" applyFill="1"/>
    <xf numFmtId="41" fontId="12" fillId="0" borderId="0" xfId="0" applyNumberFormat="1" applyFont="1" applyFill="1" applyBorder="1"/>
    <xf numFmtId="41" fontId="8" fillId="0" borderId="0" xfId="0" applyNumberFormat="1" applyFont="1" applyFill="1" applyBorder="1"/>
    <xf numFmtId="41" fontId="11" fillId="0" borderId="0" xfId="26" applyNumberFormat="1" applyFont="1" applyFill="1" applyBorder="1" applyProtection="1"/>
    <xf numFmtId="41" fontId="9" fillId="0" borderId="0" xfId="0" applyNumberFormat="1" applyFont="1"/>
    <xf numFmtId="41" fontId="17" fillId="0" borderId="0" xfId="26" applyNumberFormat="1" applyFont="1" applyFill="1" applyBorder="1"/>
    <xf numFmtId="41" fontId="0" fillId="0" borderId="0" xfId="0" applyNumberFormat="1" applyFont="1"/>
    <xf numFmtId="42" fontId="11" fillId="0" borderId="0" xfId="0" quotePrefix="1" applyNumberFormat="1" applyFont="1" applyFill="1" applyBorder="1" applyAlignment="1">
      <alignment horizontal="left"/>
    </xf>
    <xf numFmtId="42" fontId="18" fillId="0" borderId="0" xfId="0" applyNumberFormat="1" applyFont="1" applyFill="1" applyBorder="1"/>
    <xf numFmtId="41" fontId="6" fillId="0" borderId="0" xfId="0" applyNumberFormat="1" applyFont="1" applyAlignment="1">
      <alignment horizontal="centerContinuous"/>
    </xf>
    <xf numFmtId="41" fontId="1" fillId="0" borderId="0" xfId="0" applyNumberFormat="1" applyFont="1" applyFill="1" applyBorder="1" applyProtection="1"/>
    <xf numFmtId="41" fontId="2" fillId="0" borderId="0" xfId="0" applyNumberFormat="1" applyFont="1" applyFill="1" applyAlignment="1" applyProtection="1">
      <alignment horizontal="left"/>
    </xf>
    <xf numFmtId="41" fontId="9" fillId="0" borderId="0" xfId="0" applyNumberFormat="1" applyFont="1" applyFill="1" applyAlignment="1" applyProtection="1">
      <alignment horizontal="centerContinuous"/>
    </xf>
    <xf numFmtId="41" fontId="17" fillId="0" borderId="0" xfId="0" applyNumberFormat="1" applyFont="1" applyFill="1" applyAlignment="1" applyProtection="1">
      <alignment horizontal="centerContinuous"/>
    </xf>
    <xf numFmtId="41" fontId="17" fillId="0" borderId="0" xfId="0" applyNumberFormat="1" applyFont="1" applyFill="1" applyBorder="1" applyAlignment="1" applyProtection="1">
      <alignment horizontal="centerContinuous"/>
    </xf>
    <xf numFmtId="41" fontId="11" fillId="0" borderId="0" xfId="0" applyNumberFormat="1" applyFont="1" applyFill="1" applyBorder="1" applyAlignment="1" applyProtection="1">
      <alignment horizontal="centerContinuous"/>
    </xf>
    <xf numFmtId="41" fontId="22" fillId="0" borderId="0" xfId="0" applyNumberFormat="1" applyFont="1" applyFill="1" applyBorder="1" applyAlignment="1" applyProtection="1">
      <alignment horizontal="centerContinuous"/>
    </xf>
    <xf numFmtId="41" fontId="6" fillId="0" borderId="0" xfId="0" applyNumberFormat="1" applyFont="1" applyFill="1" applyBorder="1" applyProtection="1"/>
    <xf numFmtId="41" fontId="17" fillId="0" borderId="0" xfId="0" quotePrefix="1" applyNumberFormat="1" applyFont="1" applyFill="1" applyBorder="1" applyAlignment="1" applyProtection="1">
      <alignment horizontal="center"/>
    </xf>
    <xf numFmtId="41" fontId="9" fillId="0" borderId="0" xfId="0" quotePrefix="1" applyNumberFormat="1" applyFont="1" applyFill="1" applyAlignment="1" applyProtection="1">
      <alignment horizontal="left"/>
    </xf>
    <xf numFmtId="41" fontId="9" fillId="0" borderId="0" xfId="0" applyNumberFormat="1" applyFont="1" applyBorder="1" applyProtection="1"/>
    <xf numFmtId="41" fontId="17" fillId="0" borderId="0" xfId="0" quotePrefix="1" applyNumberFormat="1" applyFont="1" applyFill="1" applyAlignment="1" applyProtection="1">
      <alignment horizontal="left"/>
    </xf>
    <xf numFmtId="41" fontId="31" fillId="0" borderId="0" xfId="0" applyNumberFormat="1" applyFont="1" applyFill="1" applyBorder="1" applyProtection="1"/>
    <xf numFmtId="41" fontId="9" fillId="0" borderId="0" xfId="0" applyNumberFormat="1" applyFont="1" applyFill="1" applyBorder="1" applyProtection="1"/>
    <xf numFmtId="168" fontId="11" fillId="0" borderId="0" xfId="0" applyNumberFormat="1" applyFont="1" applyFill="1" applyProtection="1"/>
    <xf numFmtId="168" fontId="11" fillId="0" borderId="0" xfId="0" applyNumberFormat="1" applyFont="1" applyFill="1" applyBorder="1" applyProtection="1"/>
    <xf numFmtId="168" fontId="22" fillId="0" borderId="0" xfId="0" applyNumberFormat="1" applyFont="1" applyFill="1" applyProtection="1"/>
    <xf numFmtId="168" fontId="31" fillId="0" borderId="0" xfId="0" applyNumberFormat="1" applyFont="1" applyFill="1" applyBorder="1" applyProtection="1"/>
    <xf numFmtId="168" fontId="22" fillId="0" borderId="0" xfId="0" applyNumberFormat="1" applyFont="1" applyFill="1" applyBorder="1" applyProtection="1"/>
    <xf numFmtId="168" fontId="31" fillId="0" borderId="0" xfId="0" quotePrefix="1" applyNumberFormat="1" applyFont="1" applyFill="1" applyAlignment="1" applyProtection="1">
      <alignment horizontal="left"/>
    </xf>
    <xf numFmtId="41" fontId="11" fillId="0" borderId="0" xfId="26" applyNumberFormat="1" applyFont="1" applyFill="1" applyProtection="1"/>
    <xf numFmtId="41" fontId="17" fillId="0" borderId="0" xfId="26" applyNumberFormat="1" applyFont="1" applyFill="1" applyBorder="1" applyProtection="1"/>
    <xf numFmtId="168" fontId="11" fillId="0" borderId="0" xfId="26" applyNumberFormat="1" applyFont="1" applyFill="1" applyProtection="1"/>
    <xf numFmtId="168" fontId="11" fillId="0" borderId="0" xfId="26" applyNumberFormat="1" applyFont="1" applyFill="1" applyBorder="1" applyProtection="1"/>
    <xf numFmtId="168" fontId="22" fillId="0" borderId="0" xfId="26" applyNumberFormat="1" applyFont="1" applyFill="1" applyProtection="1"/>
    <xf numFmtId="168" fontId="22" fillId="0" borderId="0" xfId="26" applyNumberFormat="1" applyFont="1" applyFill="1" applyBorder="1" applyProtection="1"/>
    <xf numFmtId="168" fontId="31" fillId="0" borderId="0" xfId="26" applyNumberFormat="1" applyFont="1" applyFill="1" applyBorder="1" applyProtection="1"/>
    <xf numFmtId="168" fontId="17" fillId="0" borderId="0" xfId="26" quotePrefix="1" applyNumberFormat="1" applyFont="1" applyFill="1" applyAlignment="1" applyProtection="1">
      <alignment horizontal="left"/>
    </xf>
    <xf numFmtId="168" fontId="17" fillId="0" borderId="0" xfId="26" applyNumberFormat="1" applyFont="1" applyFill="1" applyBorder="1" applyProtection="1"/>
    <xf numFmtId="41" fontId="17" fillId="0" borderId="0" xfId="0" quotePrefix="1" applyNumberFormat="1" applyFont="1" applyFill="1" applyBorder="1" applyAlignment="1">
      <alignment horizontal="center"/>
    </xf>
    <xf numFmtId="41" fontId="9" fillId="0" borderId="0" xfId="22" applyNumberFormat="1" applyFont="1" applyFill="1" applyProtection="1"/>
    <xf numFmtId="41" fontId="17" fillId="0" borderId="0" xfId="22" applyNumberFormat="1" applyFont="1" applyFill="1" applyProtection="1"/>
    <xf numFmtId="41" fontId="17" fillId="0" borderId="5" xfId="22" quotePrefix="1" applyNumberFormat="1" applyFont="1" applyFill="1" applyBorder="1" applyAlignment="1" applyProtection="1">
      <alignment horizontal="centerContinuous"/>
    </xf>
    <xf numFmtId="41" fontId="17" fillId="0" borderId="5" xfId="22" applyNumberFormat="1" applyFont="1" applyFill="1" applyBorder="1" applyAlignment="1" applyProtection="1">
      <alignment horizontal="centerContinuous"/>
    </xf>
    <xf numFmtId="41" fontId="17" fillId="0" borderId="0" xfId="22" applyNumberFormat="1" applyFont="1" applyFill="1" applyBorder="1" applyProtection="1"/>
    <xf numFmtId="41" fontId="6" fillId="0" borderId="0" xfId="22" applyNumberFormat="1" applyFont="1" applyFill="1" applyProtection="1"/>
    <xf numFmtId="41" fontId="6" fillId="0" borderId="0" xfId="22" applyNumberFormat="1" applyFont="1"/>
    <xf numFmtId="41" fontId="6" fillId="0" borderId="0" xfId="22" applyNumberFormat="1" applyFont="1" applyFill="1" applyAlignment="1" applyProtection="1">
      <alignment vertical="center"/>
    </xf>
    <xf numFmtId="41" fontId="16" fillId="0" borderId="0" xfId="22" quotePrefix="1" applyNumberFormat="1" applyFont="1" applyFill="1" applyBorder="1" applyAlignment="1" applyProtection="1">
      <alignment horizontal="left"/>
    </xf>
    <xf numFmtId="41" fontId="9" fillId="0" borderId="0" xfId="22" applyNumberFormat="1" applyFont="1" applyFill="1" applyAlignment="1" applyProtection="1">
      <alignment horizontal="left"/>
    </xf>
    <xf numFmtId="42" fontId="11" fillId="0" borderId="0" xfId="22" applyNumberFormat="1" applyFont="1" applyFill="1" applyProtection="1"/>
    <xf numFmtId="42" fontId="11" fillId="0" borderId="0" xfId="22" quotePrefix="1" applyNumberFormat="1" applyFont="1" applyFill="1" applyAlignment="1" applyProtection="1">
      <alignment horizontal="left"/>
    </xf>
    <xf numFmtId="42" fontId="18" fillId="0" borderId="0" xfId="3" applyNumberFormat="1" applyFont="1" applyFill="1" applyBorder="1" applyProtection="1"/>
    <xf numFmtId="41" fontId="6" fillId="0" borderId="0" xfId="22" applyNumberFormat="1" applyFont="1" applyFill="1" applyBorder="1" applyProtection="1"/>
    <xf numFmtId="41" fontId="15" fillId="0" borderId="0" xfId="22" applyNumberFormat="1" applyFont="1" applyFill="1" applyProtection="1"/>
    <xf numFmtId="41" fontId="6" fillId="0" borderId="0" xfId="22" applyNumberFormat="1" applyFont="1" applyFill="1" applyAlignment="1" applyProtection="1">
      <alignment horizontal="left"/>
    </xf>
    <xf numFmtId="42" fontId="11" fillId="0" borderId="0" xfId="3" quotePrefix="1" applyNumberFormat="1" applyFont="1" applyFill="1" applyAlignment="1" applyProtection="1">
      <alignment horizontal="left"/>
    </xf>
    <xf numFmtId="167" fontId="11" fillId="0" borderId="0" xfId="26" applyNumberFormat="1" applyFont="1" applyFill="1" applyBorder="1" applyProtection="1"/>
    <xf numFmtId="167" fontId="11" fillId="0" borderId="0" xfId="26" applyNumberFormat="1" applyFont="1" applyFill="1" applyProtection="1"/>
    <xf numFmtId="167" fontId="22" fillId="0" borderId="0" xfId="26" applyNumberFormat="1" applyFont="1" applyFill="1" applyBorder="1" applyProtection="1"/>
    <xf numFmtId="167" fontId="16" fillId="0" borderId="0" xfId="26" applyNumberFormat="1" applyFont="1" applyFill="1" applyBorder="1" applyProtection="1"/>
    <xf numFmtId="167" fontId="31" fillId="0" borderId="0" xfId="26" applyNumberFormat="1" applyFont="1" applyFill="1" applyBorder="1" applyProtection="1"/>
    <xf numFmtId="167" fontId="17" fillId="0" borderId="0" xfId="26" applyNumberFormat="1" applyFont="1" applyFill="1" applyBorder="1" applyProtection="1"/>
    <xf numFmtId="167" fontId="17" fillId="0" borderId="0" xfId="26" applyNumberFormat="1" applyFont="1" applyFill="1" applyProtection="1"/>
    <xf numFmtId="41" fontId="20" fillId="0" borderId="0" xfId="0" applyNumberFormat="1" applyFont="1" applyFill="1" applyAlignment="1" applyProtection="1">
      <alignment horizontal="left"/>
    </xf>
    <xf numFmtId="41" fontId="13" fillId="0" borderId="0" xfId="0" applyNumberFormat="1" applyFont="1" applyFill="1" applyAlignment="1" applyProtection="1">
      <alignment horizontal="centerContinuous"/>
    </xf>
    <xf numFmtId="41" fontId="1" fillId="0" borderId="0" xfId="0" applyNumberFormat="1" applyFont="1" applyFill="1" applyBorder="1" applyAlignment="1" applyProtection="1">
      <alignment horizontal="centerContinuous"/>
    </xf>
    <xf numFmtId="41" fontId="13" fillId="0" borderId="0" xfId="25" applyNumberFormat="1" applyFont="1" applyFill="1" applyProtection="1"/>
    <xf numFmtId="41" fontId="13" fillId="0" borderId="0" xfId="25" applyNumberFormat="1" applyFont="1" applyProtection="1"/>
    <xf numFmtId="41" fontId="7" fillId="0" borderId="0" xfId="25" applyNumberFormat="1" applyFont="1" applyProtection="1"/>
    <xf numFmtId="41" fontId="21" fillId="0" borderId="0" xfId="0" quotePrefix="1" applyNumberFormat="1" applyFont="1" applyFill="1" applyBorder="1" applyAlignment="1" applyProtection="1">
      <alignment horizontal="center"/>
    </xf>
    <xf numFmtId="41" fontId="6" fillId="0" borderId="5" xfId="0" applyNumberFormat="1" applyFont="1" applyBorder="1" applyAlignment="1">
      <alignment horizontal="centerContinuous"/>
    </xf>
    <xf numFmtId="41" fontId="8" fillId="0" borderId="0" xfId="25" applyNumberFormat="1" applyFont="1" applyFill="1" applyProtection="1"/>
    <xf numFmtId="41" fontId="8" fillId="0" borderId="0" xfId="25" applyNumberFormat="1" applyFont="1" applyProtection="1"/>
    <xf numFmtId="41" fontId="4" fillId="0" borderId="0" xfId="25" applyNumberFormat="1" applyProtection="1"/>
    <xf numFmtId="41" fontId="21" fillId="0" borderId="0" xfId="0" quotePrefix="1" applyNumberFormat="1" applyFont="1" applyFill="1" applyAlignment="1" applyProtection="1">
      <alignment horizontal="center"/>
    </xf>
    <xf numFmtId="41" fontId="6" fillId="0" borderId="0" xfId="0" applyNumberFormat="1" applyFont="1" applyFill="1" applyAlignment="1">
      <alignment horizontal="left" indent="1"/>
    </xf>
    <xf numFmtId="41" fontId="8" fillId="0" borderId="0" xfId="26" applyNumberFormat="1" applyFont="1" applyFill="1" applyProtection="1"/>
    <xf numFmtId="41" fontId="34" fillId="0" borderId="0" xfId="0" applyNumberFormat="1" applyFont="1" applyFill="1" applyAlignment="1">
      <alignment horizontal="left"/>
    </xf>
    <xf numFmtId="41" fontId="8" fillId="0" borderId="0" xfId="25" applyNumberFormat="1" applyFont="1" applyFill="1" applyBorder="1" applyProtection="1"/>
    <xf numFmtId="41" fontId="8" fillId="0" borderId="0" xfId="26" applyNumberFormat="1" applyFont="1" applyFill="1" applyBorder="1" applyProtection="1"/>
    <xf numFmtId="41" fontId="8" fillId="0" borderId="0" xfId="25" applyNumberFormat="1" applyFont="1" applyBorder="1" applyProtection="1"/>
    <xf numFmtId="41" fontId="4" fillId="0" borderId="0" xfId="25" applyNumberFormat="1" applyBorder="1" applyProtection="1"/>
    <xf numFmtId="41" fontId="19" fillId="0" borderId="0" xfId="25" applyNumberFormat="1" applyFont="1" applyProtection="1"/>
    <xf numFmtId="41" fontId="19" fillId="0" borderId="0" xfId="25" applyNumberFormat="1" applyFont="1" applyFill="1" applyBorder="1" applyProtection="1"/>
    <xf numFmtId="41" fontId="19" fillId="0" borderId="0" xfId="26" applyNumberFormat="1" applyFont="1" applyFill="1" applyBorder="1" applyProtection="1"/>
    <xf numFmtId="41" fontId="19" fillId="0" borderId="0" xfId="25" applyNumberFormat="1" applyFont="1" applyBorder="1" applyProtection="1"/>
    <xf numFmtId="41" fontId="38" fillId="0" borderId="0" xfId="25" applyNumberFormat="1" applyFont="1" applyBorder="1" applyProtection="1"/>
    <xf numFmtId="41" fontId="38" fillId="0" borderId="0" xfId="25" applyNumberFormat="1" applyFont="1" applyProtection="1"/>
    <xf numFmtId="42" fontId="6" fillId="0" borderId="0" xfId="0" applyNumberFormat="1" applyFont="1" applyFill="1" applyAlignment="1">
      <alignment horizontal="left" indent="1"/>
    </xf>
    <xf numFmtId="42" fontId="11" fillId="0" borderId="0" xfId="2" applyNumberFormat="1" applyFont="1" applyFill="1" applyBorder="1" applyProtection="1"/>
    <xf numFmtId="42" fontId="37" fillId="0" borderId="0" xfId="0" applyNumberFormat="1" applyFont="1" applyFill="1" applyAlignment="1">
      <alignment horizontal="left" indent="1"/>
    </xf>
    <xf numFmtId="42" fontId="18" fillId="0" borderId="0" xfId="2" applyNumberFormat="1" applyFont="1" applyFill="1" applyBorder="1" applyProtection="1"/>
    <xf numFmtId="41" fontId="35" fillId="0" borderId="0" xfId="0" applyNumberFormat="1" applyFont="1"/>
    <xf numFmtId="42" fontId="0" fillId="0" borderId="0" xfId="0" applyNumberFormat="1"/>
    <xf numFmtId="42" fontId="17" fillId="0" borderId="0" xfId="22" applyNumberFormat="1" applyFont="1" applyFill="1" applyBorder="1" applyProtection="1"/>
    <xf numFmtId="41" fontId="9" fillId="0" borderId="0" xfId="22" applyNumberFormat="1" applyFont="1" applyFill="1" applyBorder="1" applyProtection="1"/>
    <xf numFmtId="42" fontId="30" fillId="0" borderId="0" xfId="0" applyNumberFormat="1" applyFont="1"/>
    <xf numFmtId="41" fontId="8" fillId="0" borderId="0" xfId="23" applyNumberFormat="1" applyFont="1" applyFill="1"/>
    <xf numFmtId="41" fontId="20" fillId="0" borderId="0" xfId="0" applyNumberFormat="1" applyFont="1" applyFill="1" applyAlignment="1">
      <alignment horizontal="left"/>
    </xf>
    <xf numFmtId="41" fontId="27" fillId="0" borderId="0" xfId="0" applyNumberFormat="1" applyFont="1" applyFill="1"/>
    <xf numFmtId="41" fontId="8" fillId="0" borderId="0" xfId="23" applyNumberFormat="1" applyFont="1"/>
    <xf numFmtId="42" fontId="17" fillId="0" borderId="0" xfId="0" applyNumberFormat="1" applyFont="1" applyFill="1" applyBorder="1"/>
    <xf numFmtId="41" fontId="21" fillId="0" borderId="0" xfId="0" applyNumberFormat="1" applyFont="1" applyFill="1" applyAlignment="1">
      <alignment horizontal="left" vertical="center"/>
    </xf>
    <xf numFmtId="41" fontId="11" fillId="0" borderId="0" xfId="0" applyNumberFormat="1" applyFont="1" applyFill="1" applyAlignment="1">
      <alignment horizontal="left" vertical="center"/>
    </xf>
    <xf numFmtId="41" fontId="17" fillId="0" borderId="0" xfId="0" applyNumberFormat="1" applyFont="1" applyFill="1" applyAlignment="1">
      <alignment horizontal="left" vertical="center"/>
    </xf>
    <xf numFmtId="41" fontId="19" fillId="0" borderId="0" xfId="23" applyNumberFormat="1" applyFont="1" applyFill="1"/>
    <xf numFmtId="41" fontId="8" fillId="0" borderId="0" xfId="23" applyNumberFormat="1" applyFont="1" applyFill="1" applyAlignment="1">
      <alignment horizontal="left" vertical="center"/>
    </xf>
    <xf numFmtId="41" fontId="6" fillId="0" borderId="0" xfId="0" applyNumberFormat="1" applyFont="1" applyFill="1" applyAlignment="1">
      <alignment horizontal="left" vertical="center"/>
    </xf>
    <xf numFmtId="41" fontId="6" fillId="0" borderId="0" xfId="0" quotePrefix="1" applyNumberFormat="1" applyFont="1" applyFill="1" applyAlignment="1">
      <alignment horizontal="left" vertical="center"/>
    </xf>
    <xf numFmtId="164" fontId="11" fillId="0" borderId="0" xfId="0" applyNumberFormat="1" applyFont="1" applyFill="1"/>
    <xf numFmtId="41" fontId="2" fillId="0" borderId="0" xfId="0" applyNumberFormat="1" applyFont="1" applyFill="1" applyAlignment="1">
      <alignment horizontal="left" vertical="center"/>
    </xf>
    <xf numFmtId="41" fontId="17" fillId="0" borderId="0" xfId="0" applyNumberFormat="1" applyFont="1" applyFill="1" applyAlignment="1">
      <alignment horizontal="centerContinuous" vertical="center"/>
    </xf>
    <xf numFmtId="41" fontId="8" fillId="0" borderId="0" xfId="23" applyNumberFormat="1" applyFont="1" applyFill="1" applyAlignment="1">
      <alignment vertical="center"/>
    </xf>
    <xf numFmtId="41" fontId="20" fillId="0" borderId="0" xfId="0" applyNumberFormat="1" applyFont="1" applyFill="1" applyAlignment="1">
      <alignment horizontal="left" vertical="center"/>
    </xf>
    <xf numFmtId="41" fontId="6" fillId="0" borderId="0" xfId="0" quotePrefix="1" applyNumberFormat="1" applyFont="1" applyFill="1" applyAlignment="1" applyProtection="1">
      <alignment horizontal="left" vertical="center"/>
    </xf>
    <xf numFmtId="41" fontId="17" fillId="0" borderId="0" xfId="0" applyNumberFormat="1" applyFont="1" applyFill="1" applyAlignment="1">
      <alignment vertical="center"/>
    </xf>
    <xf numFmtId="41" fontId="27" fillId="0" borderId="0" xfId="0" quotePrefix="1" applyNumberFormat="1" applyFont="1" applyFill="1" applyBorder="1" applyAlignment="1">
      <alignment horizontal="center" vertical="center"/>
    </xf>
    <xf numFmtId="41" fontId="11" fillId="0" borderId="0" xfId="0" quotePrefix="1" applyNumberFormat="1" applyFont="1" applyFill="1" applyAlignment="1">
      <alignment horizontal="left" vertical="center"/>
    </xf>
    <xf numFmtId="41" fontId="8" fillId="0" borderId="0" xfId="23" applyNumberFormat="1" applyFont="1" applyAlignment="1">
      <alignment vertical="center"/>
    </xf>
    <xf numFmtId="41" fontId="11" fillId="0" borderId="0" xfId="23" applyNumberFormat="1" applyFont="1" applyFill="1" applyAlignment="1">
      <alignment horizontal="left" vertical="center"/>
    </xf>
    <xf numFmtId="168" fontId="17" fillId="0" borderId="0" xfId="0" applyNumberFormat="1" applyFont="1" applyFill="1" applyAlignment="1">
      <alignment vertical="center"/>
    </xf>
    <xf numFmtId="41" fontId="17" fillId="0" borderId="0" xfId="0" quotePrefix="1" applyNumberFormat="1" applyFont="1" applyFill="1" applyAlignment="1">
      <alignment horizontal="left" vertical="center"/>
    </xf>
    <xf numFmtId="42" fontId="18" fillId="0" borderId="0" xfId="0" applyNumberFormat="1" applyFont="1" applyFill="1" applyAlignment="1">
      <alignment vertical="center"/>
    </xf>
    <xf numFmtId="41" fontId="19" fillId="0" borderId="0" xfId="23" applyNumberFormat="1" applyFont="1" applyFill="1" applyAlignment="1">
      <alignment vertical="center"/>
    </xf>
    <xf numFmtId="41" fontId="13" fillId="0" borderId="0" xfId="24" applyNumberFormat="1" applyFont="1" applyFill="1" applyProtection="1"/>
    <xf numFmtId="41" fontId="25" fillId="0" borderId="0" xfId="24" applyNumberFormat="1" applyFont="1" applyFill="1" applyProtection="1"/>
    <xf numFmtId="41" fontId="11" fillId="0" borderId="0" xfId="0" applyNumberFormat="1" applyFont="1" applyFill="1" applyAlignment="1" applyProtection="1">
      <alignment horizontal="left"/>
    </xf>
    <xf numFmtId="41" fontId="8" fillId="0" borderId="0" xfId="24" applyNumberFormat="1" applyFont="1" applyFill="1" applyProtection="1"/>
    <xf numFmtId="41" fontId="26" fillId="0" borderId="0" xfId="0" applyNumberFormat="1" applyFont="1" applyFill="1" applyBorder="1" applyProtection="1"/>
    <xf numFmtId="41" fontId="12" fillId="0" borderId="0" xfId="0" applyNumberFormat="1" applyFont="1" applyFill="1" applyBorder="1" applyProtection="1"/>
    <xf numFmtId="41" fontId="8" fillId="0" borderId="0" xfId="24" applyNumberFormat="1" applyFont="1" applyFill="1" applyBorder="1" applyProtection="1"/>
    <xf numFmtId="41" fontId="11" fillId="0" borderId="5" xfId="0" applyNumberFormat="1" applyFont="1" applyFill="1" applyBorder="1" applyProtection="1"/>
    <xf numFmtId="41" fontId="8" fillId="0" borderId="5" xfId="0" applyNumberFormat="1" applyFont="1" applyFill="1" applyBorder="1" applyProtection="1"/>
    <xf numFmtId="41" fontId="11" fillId="0" borderId="5" xfId="0" applyNumberFormat="1" applyFont="1" applyFill="1" applyBorder="1" applyAlignment="1" applyProtection="1">
      <alignment horizontal="centerContinuous"/>
    </xf>
    <xf numFmtId="41" fontId="11" fillId="0" borderId="0" xfId="0" quotePrefix="1" applyNumberFormat="1" applyFont="1" applyFill="1" applyAlignment="1" applyProtection="1">
      <alignment horizontal="left"/>
    </xf>
    <xf numFmtId="41" fontId="8" fillId="0" borderId="0" xfId="24" applyNumberFormat="1" applyFont="1" applyProtection="1"/>
    <xf numFmtId="41" fontId="11" fillId="0" borderId="0" xfId="28" applyNumberFormat="1" applyFont="1" applyFill="1" applyBorder="1"/>
    <xf numFmtId="41" fontId="8" fillId="0" borderId="0" xfId="28" applyNumberFormat="1" applyFont="1" applyFill="1"/>
    <xf numFmtId="42" fontId="11" fillId="0" borderId="0" xfId="4" applyNumberFormat="1" applyFont="1" applyFill="1"/>
    <xf numFmtId="169" fontId="11" fillId="0" borderId="0" xfId="28" applyNumberFormat="1" applyFont="1" applyFill="1"/>
    <xf numFmtId="42" fontId="18" fillId="0" borderId="0" xfId="4" applyNumberFormat="1" applyFont="1" applyFill="1" applyBorder="1"/>
    <xf numFmtId="41" fontId="19" fillId="0" borderId="0" xfId="0" applyNumberFormat="1" applyFont="1" applyFill="1"/>
    <xf numFmtId="42" fontId="6" fillId="0" borderId="0" xfId="4" applyNumberFormat="1" applyFont="1" applyFill="1" applyBorder="1" applyAlignment="1"/>
    <xf numFmtId="169" fontId="11" fillId="0" borderId="0" xfId="20" applyNumberFormat="1" applyFont="1" applyFill="1" applyBorder="1" applyAlignment="1"/>
    <xf numFmtId="169" fontId="8" fillId="0" borderId="0" xfId="20" applyNumberFormat="1" applyFont="1" applyFill="1" applyBorder="1" applyAlignment="1"/>
    <xf numFmtId="42" fontId="18" fillId="0" borderId="0" xfId="4" applyNumberFormat="1" applyFont="1" applyFill="1" applyBorder="1" applyAlignment="1"/>
    <xf numFmtId="41" fontId="15" fillId="0" borderId="0" xfId="0" applyNumberFormat="1" applyFont="1"/>
    <xf numFmtId="41" fontId="6" fillId="0" borderId="7" xfId="0" applyNumberFormat="1" applyFont="1" applyBorder="1"/>
    <xf numFmtId="41" fontId="11" fillId="0" borderId="3" xfId="0" applyNumberFormat="1" applyFont="1" applyFill="1" applyBorder="1" applyProtection="1"/>
    <xf numFmtId="41" fontId="14" fillId="0" borderId="8" xfId="0" applyNumberFormat="1" applyFont="1" applyBorder="1"/>
    <xf numFmtId="41" fontId="6" fillId="0" borderId="8" xfId="0" applyNumberFormat="1" applyFont="1" applyBorder="1" applyAlignment="1"/>
    <xf numFmtId="41" fontId="6" fillId="0" borderId="9" xfId="0" applyNumberFormat="1" applyFont="1" applyBorder="1" applyAlignment="1"/>
    <xf numFmtId="41" fontId="6" fillId="0" borderId="0" xfId="0" applyNumberFormat="1" applyFont="1" applyAlignment="1"/>
    <xf numFmtId="41" fontId="6" fillId="0" borderId="7" xfId="0" applyNumberFormat="1" applyFont="1" applyBorder="1" applyAlignment="1"/>
    <xf numFmtId="41" fontId="14" fillId="0" borderId="8" xfId="0" applyNumberFormat="1" applyFont="1" applyBorder="1" applyAlignment="1"/>
    <xf numFmtId="41" fontId="6" fillId="0" borderId="2" xfId="26" applyNumberFormat="1" applyFont="1" applyBorder="1"/>
    <xf numFmtId="41" fontId="6" fillId="0" borderId="8" xfId="0" applyNumberFormat="1" applyFont="1" applyBorder="1" applyAlignment="1">
      <alignment horizontal="left" indent="1"/>
    </xf>
    <xf numFmtId="168" fontId="6" fillId="0" borderId="0" xfId="26" applyNumberFormat="1" applyFont="1" applyBorder="1"/>
    <xf numFmtId="168" fontId="6" fillId="0" borderId="2" xfId="26" applyNumberFormat="1" applyFont="1" applyBorder="1"/>
    <xf numFmtId="168" fontId="15" fillId="0" borderId="0" xfId="26" applyNumberFormat="1" applyFont="1" applyBorder="1"/>
    <xf numFmtId="168" fontId="15" fillId="0" borderId="2" xfId="26" applyNumberFormat="1" applyFont="1" applyBorder="1"/>
    <xf numFmtId="168" fontId="32" fillId="0" borderId="0" xfId="26" applyNumberFormat="1" applyFont="1" applyBorder="1"/>
    <xf numFmtId="168" fontId="32" fillId="0" borderId="2" xfId="26" applyNumberFormat="1" applyFont="1" applyBorder="1"/>
    <xf numFmtId="167" fontId="6" fillId="0" borderId="0" xfId="26" applyNumberFormat="1" applyFont="1" applyBorder="1"/>
    <xf numFmtId="167" fontId="11" fillId="0" borderId="2" xfId="26" applyNumberFormat="1" applyFont="1" applyFill="1" applyBorder="1" applyProtection="1"/>
    <xf numFmtId="41" fontId="20" fillId="0" borderId="0" xfId="0" applyNumberFormat="1" applyFont="1" applyFill="1" applyAlignment="1" applyProtection="1">
      <alignment horizontal="centerContinuous"/>
    </xf>
    <xf numFmtId="41" fontId="9" fillId="0" borderId="0" xfId="0" applyNumberFormat="1" applyFont="1" applyFill="1" applyAlignment="1" applyProtection="1">
      <alignment horizontal="left"/>
    </xf>
    <xf numFmtId="41" fontId="6" fillId="0" borderId="0" xfId="0" applyNumberFormat="1" applyFont="1" applyFill="1" applyAlignment="1" applyProtection="1">
      <alignment horizontal="left"/>
    </xf>
    <xf numFmtId="41" fontId="9" fillId="0" borderId="0" xfId="0" quotePrefix="1" applyNumberFormat="1" applyFont="1" applyFill="1" applyBorder="1" applyAlignment="1" applyProtection="1">
      <alignment horizontal="left"/>
    </xf>
    <xf numFmtId="41" fontId="17" fillId="0" borderId="0" xfId="0" applyNumberFormat="1" applyFont="1" applyFill="1" applyAlignment="1" applyProtection="1">
      <alignment horizontal="left"/>
    </xf>
    <xf numFmtId="41" fontId="12" fillId="0" borderId="0" xfId="0" quotePrefix="1" applyNumberFormat="1" applyFont="1" applyFill="1" applyProtection="1"/>
    <xf numFmtId="41" fontId="8" fillId="0" borderId="0" xfId="0" applyNumberFormat="1" applyFont="1" applyFill="1" applyProtection="1"/>
    <xf numFmtId="42" fontId="11" fillId="0" borderId="0" xfId="0" quotePrefix="1" applyNumberFormat="1" applyFont="1" applyFill="1" applyAlignment="1" applyProtection="1">
      <alignment horizontal="left"/>
    </xf>
    <xf numFmtId="44" fontId="17" fillId="0" borderId="0" xfId="0" applyNumberFormat="1" applyFont="1" applyFill="1" applyAlignment="1" applyProtection="1">
      <alignment horizontal="left"/>
    </xf>
    <xf numFmtId="43" fontId="6" fillId="0" borderId="0" xfId="0" applyNumberFormat="1" applyFont="1" applyFill="1" applyAlignment="1" applyProtection="1">
      <alignment horizontal="left"/>
    </xf>
    <xf numFmtId="43" fontId="11" fillId="0" borderId="0" xfId="0" quotePrefix="1" applyNumberFormat="1" applyFont="1" applyFill="1" applyAlignment="1" applyProtection="1">
      <alignment horizontal="left"/>
    </xf>
    <xf numFmtId="43" fontId="11" fillId="0" borderId="0" xfId="0" applyNumberFormat="1" applyFont="1" applyFill="1" applyProtection="1"/>
    <xf numFmtId="44" fontId="23" fillId="0" borderId="0" xfId="0" applyNumberFormat="1" applyFont="1" applyFill="1" applyBorder="1" applyProtection="1"/>
    <xf numFmtId="42" fontId="6" fillId="0" borderId="0" xfId="4" applyNumberFormat="1" applyFont="1" applyFill="1" applyAlignment="1"/>
    <xf numFmtId="169" fontId="11" fillId="0" borderId="0" xfId="20" applyNumberFormat="1" applyFont="1" applyFill="1" applyAlignment="1"/>
    <xf numFmtId="41" fontId="24" fillId="0" borderId="0" xfId="20" applyNumberFormat="1" applyFont="1" applyFill="1" applyAlignment="1"/>
    <xf numFmtId="41" fontId="9" fillId="0" borderId="0" xfId="0" applyNumberFormat="1" applyFont="1" applyBorder="1"/>
    <xf numFmtId="41" fontId="11" fillId="0" borderId="0" xfId="20" quotePrefix="1" applyNumberFormat="1" applyFont="1" applyFill="1" applyAlignment="1"/>
    <xf numFmtId="42" fontId="18" fillId="0" borderId="0" xfId="0" applyNumberFormat="1" applyFont="1" applyFill="1" applyProtection="1"/>
    <xf numFmtId="38" fontId="52" fillId="0" borderId="0" xfId="0" applyNumberFormat="1" applyFont="1" applyFill="1" applyBorder="1" applyAlignment="1">
      <alignment horizontal="left" vertical="center"/>
    </xf>
    <xf numFmtId="41" fontId="11" fillId="0" borderId="0" xfId="0" applyNumberFormat="1" applyFont="1" applyFill="1" applyAlignment="1" applyProtection="1">
      <alignment horizontal="right"/>
    </xf>
    <xf numFmtId="41" fontId="17" fillId="0" borderId="0" xfId="0" quotePrefix="1" applyNumberFormat="1" applyFont="1" applyFill="1" applyAlignment="1" applyProtection="1">
      <alignment horizontal="right"/>
    </xf>
    <xf numFmtId="41" fontId="27" fillId="0" borderId="0" xfId="0" quotePrefix="1" applyNumberFormat="1" applyFont="1" applyFill="1" applyAlignment="1" applyProtection="1">
      <alignment horizontal="right"/>
    </xf>
    <xf numFmtId="41" fontId="19" fillId="0" borderId="0" xfId="24" applyNumberFormat="1" applyFont="1" applyFill="1" applyProtection="1"/>
    <xf numFmtId="42" fontId="18" fillId="0" borderId="0" xfId="20" applyNumberFormat="1" applyFont="1" applyFill="1" applyBorder="1" applyAlignment="1">
      <alignment horizontal="right"/>
    </xf>
    <xf numFmtId="41" fontId="16" fillId="0" borderId="0" xfId="20" applyNumberFormat="1" applyFont="1" applyFill="1" applyBorder="1" applyAlignment="1">
      <alignment horizontal="right"/>
    </xf>
    <xf numFmtId="168" fontId="6" fillId="0" borderId="0" xfId="26" applyNumberFormat="1" applyFont="1" applyFill="1"/>
    <xf numFmtId="168" fontId="33" fillId="0" borderId="0" xfId="26" applyNumberFormat="1" applyFont="1" applyFill="1"/>
    <xf numFmtId="168" fontId="6" fillId="0" borderId="0" xfId="26" applyNumberFormat="1" applyFont="1" applyFill="1" applyBorder="1"/>
    <xf numFmtId="168" fontId="6" fillId="0" borderId="2" xfId="26" applyNumberFormat="1" applyFont="1" applyFill="1" applyBorder="1"/>
    <xf numFmtId="41" fontId="17" fillId="0" borderId="0" xfId="0" applyNumberFormat="1" applyFont="1" applyFill="1" applyAlignment="1" applyProtection="1"/>
    <xf numFmtId="41" fontId="17" fillId="0" borderId="0" xfId="0" applyNumberFormat="1" applyFont="1" applyFill="1" applyAlignment="1" applyProtection="1">
      <alignment horizontal="left" indent="1"/>
    </xf>
    <xf numFmtId="41" fontId="19" fillId="0" borderId="0" xfId="25" applyNumberFormat="1" applyFont="1" applyFill="1" applyProtection="1"/>
    <xf numFmtId="41" fontId="19" fillId="0" borderId="0" xfId="26" applyNumberFormat="1" applyFont="1" applyFill="1" applyProtection="1"/>
    <xf numFmtId="41" fontId="17" fillId="0" borderId="0" xfId="0" applyNumberFormat="1" applyFont="1" applyFill="1" applyAlignment="1" applyProtection="1">
      <alignment horizontal="right"/>
    </xf>
    <xf numFmtId="169" fontId="11" fillId="0" borderId="0" xfId="28" applyNumberFormat="1" applyFont="1" applyFill="1" applyBorder="1"/>
    <xf numFmtId="41" fontId="16" fillId="0" borderId="0" xfId="20" quotePrefix="1" applyNumberFormat="1" applyFont="1" applyFill="1" applyBorder="1" applyAlignment="1">
      <alignment horizontal="right"/>
    </xf>
    <xf numFmtId="42" fontId="11" fillId="0" borderId="0" xfId="4" applyNumberFormat="1" applyFont="1" applyFill="1" applyBorder="1"/>
    <xf numFmtId="41" fontId="19" fillId="0" borderId="0" xfId="0" applyNumberFormat="1" applyFont="1" applyFill="1" applyBorder="1"/>
    <xf numFmtId="41" fontId="16" fillId="0" borderId="0" xfId="4" applyNumberFormat="1" applyFont="1" applyFill="1" applyBorder="1"/>
    <xf numFmtId="41" fontId="11" fillId="0" borderId="0" xfId="4" applyNumberFormat="1" applyFont="1" applyFill="1" applyBorder="1"/>
    <xf numFmtId="9" fontId="8" fillId="0" borderId="0" xfId="26" applyFont="1" applyFill="1" applyAlignment="1"/>
    <xf numFmtId="9" fontId="19" fillId="0" borderId="0" xfId="26" applyFont="1" applyFill="1" applyAlignment="1"/>
    <xf numFmtId="41" fontId="16" fillId="0" borderId="0" xfId="20" applyNumberFormat="1" applyFont="1" applyFill="1" applyAlignment="1"/>
    <xf numFmtId="42" fontId="18" fillId="0" borderId="0" xfId="20" applyNumberFormat="1" applyFont="1" applyFill="1" applyAlignment="1"/>
    <xf numFmtId="41" fontId="22" fillId="0" borderId="0" xfId="20" applyNumberFormat="1" applyFont="1" applyFill="1" applyAlignment="1"/>
    <xf numFmtId="41" fontId="8" fillId="0" borderId="5" xfId="24" applyNumberFormat="1" applyFont="1" applyFill="1" applyBorder="1" applyAlignment="1" applyProtection="1">
      <alignment horizontal="centerContinuous"/>
    </xf>
    <xf numFmtId="41" fontId="11" fillId="0" borderId="0" xfId="20" applyNumberFormat="1" applyFont="1" applyFill="1" applyBorder="1" applyAlignment="1">
      <alignment horizontal="right"/>
    </xf>
    <xf numFmtId="41" fontId="18" fillId="0" borderId="0" xfId="20" applyNumberFormat="1" applyFont="1" applyFill="1" applyBorder="1" applyAlignment="1">
      <alignment horizontal="right"/>
    </xf>
    <xf numFmtId="41" fontId="11" fillId="0" borderId="0" xfId="0" quotePrefix="1" applyNumberFormat="1" applyFont="1" applyFill="1" applyAlignment="1">
      <alignment horizontal="left" vertical="center" indent="1"/>
    </xf>
    <xf numFmtId="168" fontId="11" fillId="0" borderId="0" xfId="0" applyNumberFormat="1" applyFont="1" applyFill="1" applyAlignment="1">
      <alignment vertical="center"/>
    </xf>
    <xf numFmtId="42" fontId="23" fillId="0" borderId="0" xfId="0" applyNumberFormat="1" applyFont="1" applyFill="1"/>
    <xf numFmtId="42" fontId="23" fillId="0" borderId="0" xfId="0" applyNumberFormat="1" applyFont="1" applyFill="1" applyBorder="1"/>
    <xf numFmtId="41" fontId="0" fillId="0" borderId="0" xfId="0" applyNumberFormat="1" applyFont="1" applyFill="1"/>
    <xf numFmtId="42" fontId="23" fillId="0" borderId="0" xfId="0" applyNumberFormat="1" applyFont="1" applyFill="1" applyBorder="1" applyProtection="1"/>
    <xf numFmtId="42" fontId="23" fillId="0" borderId="0" xfId="0" applyNumberFormat="1" applyFont="1" applyFill="1" applyProtection="1"/>
    <xf numFmtId="44" fontId="17" fillId="0" borderId="0" xfId="0" applyNumberFormat="1" applyFont="1" applyFill="1"/>
    <xf numFmtId="43" fontId="17" fillId="0" borderId="0" xfId="0" applyNumberFormat="1" applyFont="1" applyFill="1"/>
    <xf numFmtId="42" fontId="17" fillId="0" borderId="0" xfId="0" applyNumberFormat="1" applyFont="1" applyFill="1" applyAlignment="1">
      <alignment vertical="center"/>
    </xf>
    <xf numFmtId="41" fontId="17" fillId="0" borderId="0" xfId="0" quotePrefix="1" applyNumberFormat="1" applyFont="1" applyFill="1" applyAlignment="1">
      <alignment horizontal="left" vertical="center" indent="1"/>
    </xf>
    <xf numFmtId="41" fontId="17" fillId="0" borderId="0" xfId="0" quotePrefix="1" applyNumberFormat="1" applyFont="1" applyFill="1" applyAlignment="1" applyProtection="1">
      <alignment horizontal="left" indent="1"/>
    </xf>
    <xf numFmtId="41" fontId="6" fillId="0" borderId="8" xfId="0" applyNumberFormat="1" applyFont="1" applyFill="1" applyBorder="1" applyAlignment="1"/>
    <xf numFmtId="41" fontId="20" fillId="0" borderId="0" xfId="0" quotePrefix="1" applyNumberFormat="1" applyFont="1" applyFill="1" applyAlignment="1" applyProtection="1">
      <alignment horizontal="left"/>
    </xf>
    <xf numFmtId="167" fontId="31" fillId="0" borderId="0" xfId="26" applyNumberFormat="1" applyFont="1" applyFill="1" applyBorder="1"/>
    <xf numFmtId="41" fontId="11" fillId="0" borderId="0" xfId="0" applyNumberFormat="1" applyFont="1" applyFill="1" applyAlignment="1">
      <alignment horizontal="left" indent="1"/>
    </xf>
    <xf numFmtId="41" fontId="23" fillId="0" borderId="0" xfId="4" applyNumberFormat="1" applyFont="1" applyFill="1" applyBorder="1" applyAlignment="1">
      <alignment horizontal="right"/>
    </xf>
    <xf numFmtId="41" fontId="16" fillId="0" borderId="0" xfId="3" applyNumberFormat="1" applyFont="1" applyFill="1" applyProtection="1"/>
    <xf numFmtId="41" fontId="16" fillId="0" borderId="0" xfId="3" applyNumberFormat="1" applyFont="1" applyFill="1" applyBorder="1" applyProtection="1"/>
    <xf numFmtId="41" fontId="16" fillId="0" borderId="0" xfId="3" quotePrefix="1" applyNumberFormat="1" applyFont="1" applyFill="1" applyAlignment="1" applyProtection="1">
      <alignment horizontal="left"/>
    </xf>
    <xf numFmtId="42" fontId="23" fillId="0" borderId="0" xfId="22" applyNumberFormat="1" applyFont="1" applyFill="1" applyBorder="1" applyProtection="1"/>
    <xf numFmtId="42" fontId="23" fillId="0" borderId="0" xfId="22" applyNumberFormat="1" applyFont="1" applyFill="1" applyProtection="1"/>
    <xf numFmtId="42" fontId="17" fillId="0" borderId="0" xfId="3" applyNumberFormat="1" applyFont="1" applyFill="1" applyProtection="1"/>
    <xf numFmtId="42" fontId="17" fillId="0" borderId="0" xfId="3" quotePrefix="1" applyNumberFormat="1" applyFont="1" applyFill="1" applyAlignment="1" applyProtection="1">
      <alignment horizontal="left"/>
    </xf>
    <xf numFmtId="42" fontId="18" fillId="0" borderId="0" xfId="22" applyNumberFormat="1" applyFont="1" applyFill="1" applyBorder="1" applyProtection="1"/>
    <xf numFmtId="41" fontId="27" fillId="0" borderId="0" xfId="22" applyNumberFormat="1" applyFont="1" applyFill="1" applyBorder="1" applyProtection="1"/>
    <xf numFmtId="168" fontId="11" fillId="0" borderId="0" xfId="22" applyNumberFormat="1" applyFont="1" applyFill="1" applyBorder="1" applyProtection="1"/>
    <xf numFmtId="168" fontId="16" fillId="0" borderId="0" xfId="22" applyNumberFormat="1" applyFont="1" applyFill="1" applyBorder="1" applyProtection="1"/>
    <xf numFmtId="168" fontId="11" fillId="0" borderId="0" xfId="22" quotePrefix="1" applyNumberFormat="1" applyFont="1" applyFill="1" applyAlignment="1" applyProtection="1">
      <alignment horizontal="left"/>
    </xf>
    <xf numFmtId="41" fontId="11" fillId="0" borderId="5" xfId="0" applyNumberFormat="1" applyFont="1" applyFill="1" applyBorder="1"/>
    <xf numFmtId="41" fontId="11" fillId="0" borderId="5" xfId="28" applyNumberFormat="1" applyFont="1" applyFill="1" applyBorder="1"/>
    <xf numFmtId="41" fontId="17" fillId="0" borderId="0" xfId="0" applyNumberFormat="1" applyFont="1" applyFill="1" applyBorder="1" applyAlignment="1" applyProtection="1">
      <alignment horizontal="left" indent="1"/>
    </xf>
    <xf numFmtId="41" fontId="19" fillId="0" borderId="0" xfId="24" applyNumberFormat="1" applyFont="1" applyFill="1" applyBorder="1" applyProtection="1"/>
    <xf numFmtId="41" fontId="11" fillId="0" borderId="5" xfId="20" applyNumberFormat="1" applyFont="1" applyFill="1" applyBorder="1" applyAlignment="1"/>
    <xf numFmtId="41" fontId="24" fillId="0" borderId="5" xfId="20" applyNumberFormat="1" applyFont="1" applyFill="1" applyBorder="1" applyAlignment="1"/>
    <xf numFmtId="168" fontId="11" fillId="0" borderId="0" xfId="28" applyNumberFormat="1" applyFont="1" applyFill="1" applyBorder="1" applyProtection="1"/>
    <xf numFmtId="167" fontId="24" fillId="0" borderId="0" xfId="26" applyNumberFormat="1" applyFont="1" applyFill="1" applyBorder="1"/>
    <xf numFmtId="41" fontId="6" fillId="0" borderId="0" xfId="0" quotePrefix="1" applyNumberFormat="1" applyFont="1" applyFill="1" applyProtection="1"/>
    <xf numFmtId="41" fontId="6" fillId="0" borderId="0" xfId="0" quotePrefix="1" applyNumberFormat="1" applyFont="1" applyFill="1" applyAlignment="1">
      <alignment horizontal="left" indent="1"/>
    </xf>
    <xf numFmtId="41" fontId="17" fillId="0" borderId="0" xfId="0" quotePrefix="1" applyNumberFormat="1" applyFont="1" applyFill="1" applyAlignment="1">
      <alignment horizontal="left" indent="1"/>
    </xf>
    <xf numFmtId="41" fontId="11" fillId="0" borderId="0" xfId="0" quotePrefix="1" applyNumberFormat="1" applyFont="1" applyFill="1" applyAlignment="1">
      <alignment horizontal="left" indent="1"/>
    </xf>
    <xf numFmtId="41" fontId="17" fillId="0" borderId="0" xfId="0" applyNumberFormat="1" applyFont="1" applyFill="1" applyAlignment="1">
      <alignment horizontal="left" indent="1"/>
    </xf>
    <xf numFmtId="41" fontId="11" fillId="0" borderId="0" xfId="0" applyNumberFormat="1" applyFont="1" applyFill="1" applyAlignment="1" applyProtection="1">
      <alignment horizontal="left" indent="1"/>
    </xf>
    <xf numFmtId="41" fontId="6" fillId="0" borderId="0" xfId="0" applyNumberFormat="1" applyFont="1" applyFill="1" applyAlignment="1" applyProtection="1">
      <alignment horizontal="left" indent="1"/>
    </xf>
    <xf numFmtId="41" fontId="11" fillId="0" borderId="0" xfId="22" applyNumberFormat="1" applyFont="1" applyFill="1" applyAlignment="1" applyProtection="1">
      <alignment horizontal="left" indent="1"/>
    </xf>
    <xf numFmtId="41" fontId="17" fillId="0" borderId="0" xfId="22" applyNumberFormat="1" applyFont="1" applyFill="1" applyAlignment="1" applyProtection="1">
      <alignment horizontal="left" indent="2"/>
    </xf>
    <xf numFmtId="41" fontId="11" fillId="0" borderId="0" xfId="22" applyNumberFormat="1" applyFont="1" applyFill="1" applyBorder="1" applyAlignment="1" applyProtection="1">
      <alignment horizontal="left" indent="1"/>
    </xf>
    <xf numFmtId="41" fontId="11" fillId="0" borderId="0" xfId="23" quotePrefix="1" applyNumberFormat="1" applyFont="1" applyFill="1" applyAlignment="1">
      <alignment vertical="center"/>
    </xf>
    <xf numFmtId="41" fontId="17" fillId="0" borderId="0" xfId="0" applyNumberFormat="1" applyFont="1" applyFill="1" applyBorder="1" applyAlignment="1" applyProtection="1"/>
    <xf numFmtId="41" fontId="17" fillId="0" borderId="0" xfId="0" applyNumberFormat="1" applyFont="1" applyFill="1" applyBorder="1" applyAlignment="1" applyProtection="1">
      <alignment horizontal="right"/>
    </xf>
    <xf numFmtId="41" fontId="27" fillId="0" borderId="0" xfId="0" applyNumberFormat="1" applyFont="1" applyFill="1" applyBorder="1" applyAlignment="1" applyProtection="1">
      <alignment horizontal="right"/>
    </xf>
    <xf numFmtId="41" fontId="13" fillId="0" borderId="0" xfId="24" applyNumberFormat="1" applyFont="1" applyFill="1" applyBorder="1" applyProtection="1"/>
    <xf numFmtId="41" fontId="8" fillId="0" borderId="0" xfId="24" applyNumberFormat="1" applyFont="1" applyBorder="1" applyProtection="1"/>
    <xf numFmtId="0" fontId="36" fillId="0" borderId="0" xfId="0" applyFont="1" applyAlignment="1" applyProtection="1">
      <alignment horizontal="left"/>
      <protection hidden="1"/>
    </xf>
    <xf numFmtId="0" fontId="8" fillId="0" borderId="0" xfId="0" applyFont="1" applyFill="1"/>
    <xf numFmtId="0" fontId="28" fillId="0" borderId="0" xfId="0" applyFont="1" applyFill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41" fontId="8" fillId="0" borderId="5" xfId="24" applyNumberFormat="1" applyFont="1" applyFill="1" applyBorder="1" applyProtection="1"/>
    <xf numFmtId="0" fontId="49" fillId="0" borderId="0" xfId="0" applyFont="1" applyFill="1"/>
    <xf numFmtId="0" fontId="0" fillId="0" borderId="0" xfId="0" applyFill="1"/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170" fontId="6" fillId="0" borderId="0" xfId="0" applyNumberFormat="1" applyFont="1" applyBorder="1"/>
    <xf numFmtId="41" fontId="11" fillId="0" borderId="0" xfId="0" quotePrefix="1" applyNumberFormat="1" applyFont="1" applyFill="1" applyAlignment="1" applyProtection="1">
      <alignment horizontal="left" indent="1"/>
    </xf>
    <xf numFmtId="41" fontId="14" fillId="0" borderId="0" xfId="22" applyNumberFormat="1" applyFont="1" applyFill="1" applyProtection="1"/>
    <xf numFmtId="41" fontId="6" fillId="0" borderId="0" xfId="0" applyNumberFormat="1" applyFont="1" applyAlignment="1">
      <alignment horizontal="left" indent="1"/>
    </xf>
    <xf numFmtId="41" fontId="9" fillId="0" borderId="0" xfId="0" applyNumberFormat="1" applyFont="1" applyFill="1" applyAlignment="1">
      <alignment horizontal="left"/>
    </xf>
    <xf numFmtId="41" fontId="17" fillId="0" borderId="0" xfId="0" quotePrefix="1" applyNumberFormat="1" applyFont="1" applyFill="1" applyAlignment="1">
      <alignment horizontal="left"/>
    </xf>
    <xf numFmtId="42" fontId="11" fillId="0" borderId="5" xfId="22" applyNumberFormat="1" applyFont="1" applyFill="1" applyBorder="1" applyProtection="1"/>
    <xf numFmtId="42" fontId="11" fillId="0" borderId="5" xfId="22" quotePrefix="1" applyNumberFormat="1" applyFont="1" applyFill="1" applyBorder="1" applyAlignment="1" applyProtection="1">
      <alignment horizontal="left"/>
    </xf>
    <xf numFmtId="41" fontId="16" fillId="0" borderId="0" xfId="22" quotePrefix="1" applyNumberFormat="1" applyFont="1" applyFill="1" applyAlignment="1" applyProtection="1">
      <alignment horizontal="left"/>
    </xf>
    <xf numFmtId="42" fontId="18" fillId="0" borderId="0" xfId="22" applyNumberFormat="1" applyFont="1" applyFill="1" applyProtection="1"/>
    <xf numFmtId="42" fontId="17" fillId="0" borderId="0" xfId="22" applyNumberFormat="1" applyFont="1" applyFill="1" applyProtection="1"/>
    <xf numFmtId="42" fontId="17" fillId="0" borderId="0" xfId="22" quotePrefix="1" applyNumberFormat="1" applyFont="1" applyFill="1" applyAlignment="1" applyProtection="1">
      <alignment horizontal="left"/>
    </xf>
    <xf numFmtId="41" fontId="6" fillId="0" borderId="5" xfId="22" applyNumberFormat="1" applyFont="1" applyFill="1" applyBorder="1" applyAlignment="1" applyProtection="1">
      <alignment vertical="center"/>
    </xf>
    <xf numFmtId="41" fontId="9" fillId="0" borderId="0" xfId="22" applyNumberFormat="1" applyFont="1" applyFill="1" applyAlignment="1" applyProtection="1">
      <alignment horizontal="left" vertical="center" indent="1"/>
    </xf>
    <xf numFmtId="41" fontId="6" fillId="0" borderId="8" xfId="0" applyNumberFormat="1" applyFont="1" applyBorder="1"/>
    <xf numFmtId="41" fontId="11" fillId="0" borderId="0" xfId="0" applyNumberFormat="1" applyFont="1" applyFill="1" applyAlignment="1">
      <alignment horizontal="left" indent="2"/>
    </xf>
    <xf numFmtId="41" fontId="6" fillId="0" borderId="0" xfId="0" applyNumberFormat="1" applyFont="1" applyFill="1" applyAlignment="1" applyProtection="1">
      <alignment horizontal="left" indent="2"/>
    </xf>
    <xf numFmtId="41" fontId="17" fillId="0" borderId="0" xfId="22" applyNumberFormat="1" applyFont="1" applyFill="1" applyBorder="1" applyAlignment="1" applyProtection="1">
      <alignment horizontal="left"/>
    </xf>
    <xf numFmtId="41" fontId="17" fillId="0" borderId="0" xfId="3" applyNumberFormat="1" applyFont="1" applyFill="1" applyBorder="1" applyProtection="1"/>
    <xf numFmtId="42" fontId="37" fillId="0" borderId="0" xfId="0" applyNumberFormat="1" applyFont="1"/>
    <xf numFmtId="0" fontId="55" fillId="0" borderId="0" xfId="0" applyFont="1" applyAlignment="1">
      <alignment vertical="center"/>
    </xf>
    <xf numFmtId="41" fontId="6" fillId="0" borderId="0" xfId="0" quotePrefix="1" applyNumberFormat="1" applyFont="1" applyFill="1" applyBorder="1" applyProtection="1"/>
    <xf numFmtId="41" fontId="6" fillId="0" borderId="0" xfId="22" quotePrefix="1" applyNumberFormat="1" applyFont="1" applyFill="1" applyBorder="1" applyProtection="1"/>
    <xf numFmtId="14" fontId="27" fillId="0" borderId="0" xfId="0" quotePrefix="1" applyNumberFormat="1" applyFont="1" applyFill="1" applyBorder="1" applyAlignment="1" applyProtection="1">
      <alignment horizontal="center"/>
    </xf>
    <xf numFmtId="41" fontId="56" fillId="0" borderId="0" xfId="23" applyNumberFormat="1" applyFont="1" applyFill="1"/>
    <xf numFmtId="167" fontId="11" fillId="0" borderId="0" xfId="26" applyNumberFormat="1" applyFont="1" applyFill="1" applyBorder="1"/>
    <xf numFmtId="0" fontId="57" fillId="0" borderId="0" xfId="0" applyFont="1" applyFill="1" applyBorder="1" applyAlignment="1">
      <alignment horizontal="left" vertical="center"/>
    </xf>
    <xf numFmtId="41" fontId="34" fillId="0" borderId="0" xfId="0" applyNumberFormat="1" applyFont="1" applyFill="1" applyBorder="1" applyProtection="1"/>
    <xf numFmtId="2" fontId="11" fillId="0" borderId="0" xfId="0" applyNumberFormat="1" applyFont="1" applyFill="1"/>
    <xf numFmtId="42" fontId="11" fillId="0" borderId="0" xfId="0" applyNumberFormat="1" applyFont="1" applyBorder="1"/>
    <xf numFmtId="41" fontId="11" fillId="0" borderId="0" xfId="0" applyNumberFormat="1" applyFont="1"/>
    <xf numFmtId="41" fontId="58" fillId="0" borderId="0" xfId="0" applyNumberFormat="1" applyFont="1"/>
    <xf numFmtId="42" fontId="18" fillId="0" borderId="0" xfId="0" applyNumberFormat="1" applyFont="1"/>
    <xf numFmtId="41" fontId="6" fillId="0" borderId="8" xfId="0" applyNumberFormat="1" applyFont="1" applyBorder="1" applyAlignment="1">
      <alignment horizontal="left" indent="2"/>
    </xf>
    <xf numFmtId="167" fontId="32" fillId="0" borderId="0" xfId="26" applyNumberFormat="1" applyFont="1" applyBorder="1"/>
    <xf numFmtId="167" fontId="15" fillId="0" borderId="0" xfId="26" applyNumberFormat="1" applyFont="1" applyBorder="1"/>
    <xf numFmtId="41" fontId="6" fillId="0" borderId="0" xfId="22" applyNumberFormat="1" applyFont="1" applyFill="1" applyAlignment="1" applyProtection="1">
      <alignment horizontal="left" indent="1"/>
    </xf>
    <xf numFmtId="41" fontId="9" fillId="0" borderId="0" xfId="22" applyNumberFormat="1" applyFont="1" applyFill="1" applyAlignment="1" applyProtection="1"/>
    <xf numFmtId="41" fontId="6" fillId="0" borderId="10" xfId="0" applyNumberFormat="1" applyFont="1" applyBorder="1"/>
    <xf numFmtId="41" fontId="11" fillId="0" borderId="10" xfId="0" applyNumberFormat="1" applyFont="1" applyBorder="1"/>
    <xf numFmtId="41" fontId="0" fillId="0" borderId="10" xfId="0" applyNumberFormat="1" applyBorder="1"/>
    <xf numFmtId="168" fontId="24" fillId="0" borderId="0" xfId="26" applyNumberFormat="1" applyFont="1" applyFill="1" applyBorder="1"/>
    <xf numFmtId="169" fontId="22" fillId="0" borderId="0" xfId="28" applyNumberFormat="1" applyFont="1" applyFill="1"/>
    <xf numFmtId="41" fontId="23" fillId="0" borderId="0" xfId="20" applyNumberFormat="1" applyFont="1" applyFill="1" applyBorder="1" applyAlignment="1">
      <alignment horizontal="right"/>
    </xf>
    <xf numFmtId="42" fontId="23" fillId="0" borderId="5" xfId="0" applyNumberFormat="1" applyFont="1" applyFill="1" applyBorder="1" applyProtection="1"/>
    <xf numFmtId="41" fontId="23" fillId="0" borderId="5" xfId="20" applyNumberFormat="1" applyFont="1" applyFill="1" applyBorder="1" applyAlignment="1">
      <alignment horizontal="right"/>
    </xf>
    <xf numFmtId="41" fontId="11" fillId="0" borderId="5" xfId="0" applyNumberFormat="1" applyFont="1" applyFill="1" applyBorder="1" applyAlignment="1" applyProtection="1">
      <alignment horizontal="left"/>
    </xf>
    <xf numFmtId="41" fontId="11" fillId="0" borderId="0" xfId="0" applyNumberFormat="1" applyFont="1" applyFill="1" applyBorder="1" applyAlignment="1" applyProtection="1">
      <alignment horizontal="left"/>
    </xf>
    <xf numFmtId="43" fontId="34" fillId="0" borderId="0" xfId="0" applyNumberFormat="1" applyFont="1" applyFill="1" applyAlignment="1" applyProtection="1">
      <alignment horizontal="left"/>
    </xf>
    <xf numFmtId="41" fontId="6" fillId="0" borderId="0" xfId="0" quotePrefix="1" applyNumberFormat="1" applyFont="1"/>
    <xf numFmtId="41" fontId="11" fillId="0" borderId="0" xfId="4" applyNumberFormat="1" applyFont="1" applyFill="1" applyBorder="1" applyAlignment="1">
      <alignment horizontal="right"/>
    </xf>
    <xf numFmtId="171" fontId="8" fillId="0" borderId="0" xfId="0" applyNumberFormat="1" applyFont="1" applyFill="1" applyProtection="1"/>
    <xf numFmtId="41" fontId="6" fillId="0" borderId="5" xfId="0" applyNumberFormat="1" applyFont="1" applyFill="1" applyBorder="1"/>
    <xf numFmtId="41" fontId="6" fillId="0" borderId="3" xfId="0" applyNumberFormat="1" applyFont="1" applyFill="1" applyBorder="1"/>
    <xf numFmtId="44" fontId="6" fillId="0" borderId="0" xfId="0" applyNumberFormat="1" applyFont="1" applyFill="1" applyBorder="1"/>
    <xf numFmtId="44" fontId="11" fillId="0" borderId="0" xfId="0" applyNumberFormat="1" applyFont="1" applyFill="1" applyBorder="1"/>
    <xf numFmtId="43" fontId="6" fillId="0" borderId="0" xfId="0" applyNumberFormat="1" applyFont="1" applyFill="1" applyBorder="1"/>
    <xf numFmtId="43" fontId="11" fillId="0" borderId="0" xfId="0" applyNumberFormat="1" applyFont="1" applyFill="1" applyBorder="1"/>
    <xf numFmtId="170" fontId="11" fillId="0" borderId="0" xfId="0" applyNumberFormat="1" applyFont="1" applyFill="1" applyBorder="1"/>
    <xf numFmtId="170" fontId="6" fillId="0" borderId="0" xfId="0" applyNumberFormat="1" applyFont="1" applyFill="1" applyBorder="1"/>
    <xf numFmtId="41" fontId="11" fillId="0" borderId="3" xfId="0" applyNumberFormat="1" applyFont="1" applyFill="1" applyBorder="1"/>
  </cellXfs>
  <cellStyles count="30">
    <cellStyle name="Comma 2" xfId="1"/>
    <cellStyle name="Currency" xfId="2" builtinId="4"/>
    <cellStyle name="Currency 15" xfId="3"/>
    <cellStyle name="Currency 2" xfId="4"/>
    <cellStyle name="High Light" xfId="5"/>
    <cellStyle name="High Light 10" xfId="6"/>
    <cellStyle name="High Light 11" xfId="7"/>
    <cellStyle name="High Light 12" xfId="8"/>
    <cellStyle name="High Light 13" xfId="9"/>
    <cellStyle name="High Light 14" xfId="10"/>
    <cellStyle name="High Light 15" xfId="11"/>
    <cellStyle name="High Light 2" xfId="12"/>
    <cellStyle name="High Light 3" xfId="13"/>
    <cellStyle name="High Light 4" xfId="14"/>
    <cellStyle name="High Light 5" xfId="15"/>
    <cellStyle name="High Light 6" xfId="16"/>
    <cellStyle name="High Light 7" xfId="17"/>
    <cellStyle name="High Light 8" xfId="18"/>
    <cellStyle name="High Light 9" xfId="19"/>
    <cellStyle name="Normal" xfId="0" builtinId="0"/>
    <cellStyle name="Normal 10 4" xfId="20"/>
    <cellStyle name="Normal 2" xfId="21"/>
    <cellStyle name="Normal 20" xfId="22"/>
    <cellStyle name="Normal_Sheet1" xfId="23"/>
    <cellStyle name="Normal_Sheet2" xfId="24"/>
    <cellStyle name="Normal_Sheet3" xfId="25"/>
    <cellStyle name="Percent" xfId="26" builtinId="5"/>
    <cellStyle name="Percent 14" xfId="27"/>
    <cellStyle name="Percent 2" xfId="28"/>
    <cellStyle name="PRICING" xfId="29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PC_SF_UW"/><Relationship Id="rId13" Type="http://schemas.openxmlformats.org/officeDocument/2006/relationships/hyperlink" Target="#Annuity_STAT_Prem"/><Relationship Id="rId18" Type="http://schemas.openxmlformats.org/officeDocument/2006/relationships/hyperlink" Target="#Inv_by_Seg"/><Relationship Id="rId26" Type="http://schemas.openxmlformats.org/officeDocument/2006/relationships/hyperlink" Target="#'Pg 13 Annuity Benefit Expense'!A1"/><Relationship Id="rId3" Type="http://schemas.openxmlformats.org/officeDocument/2006/relationships/hyperlink" Target="#Earnings_Per_Share"/><Relationship Id="rId21" Type="http://schemas.openxmlformats.org/officeDocument/2006/relationships/hyperlink" Target="#FM_Rating_Designation"/><Relationship Id="rId7" Type="http://schemas.openxmlformats.org/officeDocument/2006/relationships/hyperlink" Target="#PC_SC_UW"/><Relationship Id="rId12" Type="http://schemas.openxmlformats.org/officeDocument/2006/relationships/hyperlink" Target="#Annuity_Benifit_Exp"/><Relationship Id="rId17" Type="http://schemas.openxmlformats.org/officeDocument/2006/relationships/hyperlink" Target="#Capitalization"/><Relationship Id="rId25" Type="http://schemas.openxmlformats.org/officeDocument/2006/relationships/hyperlink" Target="#'Pg 20 Additional Supp Data'!A1"/><Relationship Id="rId2" Type="http://schemas.openxmlformats.org/officeDocument/2006/relationships/hyperlink" Target="#Summary_of_Earnings"/><Relationship Id="rId16" Type="http://schemas.openxmlformats.org/officeDocument/2006/relationships/hyperlink" Target="#Book_Value"/><Relationship Id="rId20" Type="http://schemas.openxmlformats.org/officeDocument/2006/relationships/hyperlink" Target="#Inv_FM_Segment"/><Relationship Id="rId1" Type="http://schemas.openxmlformats.org/officeDocument/2006/relationships/hyperlink" Target="#Highlights"/><Relationship Id="rId6" Type="http://schemas.openxmlformats.org/officeDocument/2006/relationships/hyperlink" Target="#PC_PT_UW"/><Relationship Id="rId11" Type="http://schemas.openxmlformats.org/officeDocument/2006/relationships/hyperlink" Target="#Annuity_Spread"/><Relationship Id="rId24" Type="http://schemas.openxmlformats.org/officeDocument/2006/relationships/hyperlink" Target="#Inv_MBS_Rating"/><Relationship Id="rId5" Type="http://schemas.openxmlformats.org/officeDocument/2006/relationships/hyperlink" Target="#PC_Specialty_UW"/><Relationship Id="rId15" Type="http://schemas.openxmlformats.org/officeDocument/2006/relationships/hyperlink" Target="#Balance_Sheet"/><Relationship Id="rId23" Type="http://schemas.openxmlformats.org/officeDocument/2006/relationships/hyperlink" Target="#Inv_MBS_Segment"/><Relationship Id="rId10" Type="http://schemas.openxmlformats.org/officeDocument/2006/relationships/hyperlink" Target="#Annuity_Results"/><Relationship Id="rId19" Type="http://schemas.openxmlformats.org/officeDocument/2006/relationships/hyperlink" Target="#Inv_FM_Cons"/><Relationship Id="rId4" Type="http://schemas.openxmlformats.org/officeDocument/2006/relationships/hyperlink" Target="#PC_UW"/><Relationship Id="rId9" Type="http://schemas.openxmlformats.org/officeDocument/2006/relationships/hyperlink" Target="#PC_OTHER_UW"/><Relationship Id="rId14" Type="http://schemas.openxmlformats.org/officeDocument/2006/relationships/hyperlink" Target="#Annuity_Benifits_Accum"/><Relationship Id="rId22" Type="http://schemas.openxmlformats.org/officeDocument/2006/relationships/hyperlink" Target="#Inv_MBS_Cons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6</xdr:row>
      <xdr:rowOff>276225</xdr:rowOff>
    </xdr:from>
    <xdr:to>
      <xdr:col>5</xdr:col>
      <xdr:colOff>266700</xdr:colOff>
      <xdr:row>12</xdr:row>
      <xdr:rowOff>133350</xdr:rowOff>
    </xdr:to>
    <xdr:pic>
      <xdr:nvPicPr>
        <xdr:cNvPr id="627247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162175"/>
          <a:ext cx="232410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89648</xdr:colOff>
      <xdr:row>3</xdr:row>
      <xdr:rowOff>78441</xdr:rowOff>
    </xdr:from>
    <xdr:to>
      <xdr:col>0</xdr:col>
      <xdr:colOff>1042149</xdr:colOff>
      <xdr:row>5</xdr:row>
      <xdr:rowOff>67235</xdr:rowOff>
    </xdr:to>
    <xdr:sp macro="[0]!Go_to_Table_of_Contents" textlink="">
      <xdr:nvSpPr>
        <xdr:cNvPr id="3" name="Bevel 2"/>
        <xdr:cNvSpPr/>
      </xdr:nvSpPr>
      <xdr:spPr bwMode="auto">
        <a:xfrm>
          <a:off x="89648" y="750794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3</xdr:row>
      <xdr:rowOff>67235</xdr:rowOff>
    </xdr:from>
    <xdr:to>
      <xdr:col>0</xdr:col>
      <xdr:colOff>1064560</xdr:colOff>
      <xdr:row>5</xdr:row>
      <xdr:rowOff>78440</xdr:rowOff>
    </xdr:to>
    <xdr:sp macro="[0]!Go_to_Table_of_Contents" textlink="">
      <xdr:nvSpPr>
        <xdr:cNvPr id="3" name="Bevel 2"/>
        <xdr:cNvSpPr/>
      </xdr:nvSpPr>
      <xdr:spPr bwMode="auto">
        <a:xfrm>
          <a:off x="112059" y="739588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3</xdr:row>
      <xdr:rowOff>78442</xdr:rowOff>
    </xdr:from>
    <xdr:to>
      <xdr:col>0</xdr:col>
      <xdr:colOff>1042148</xdr:colOff>
      <xdr:row>5</xdr:row>
      <xdr:rowOff>100853</xdr:rowOff>
    </xdr:to>
    <xdr:sp macro="[0]!Go_to_Table_of_Contents" textlink="">
      <xdr:nvSpPr>
        <xdr:cNvPr id="3" name="Bevel 2"/>
        <xdr:cNvSpPr/>
      </xdr:nvSpPr>
      <xdr:spPr bwMode="auto">
        <a:xfrm>
          <a:off x="89647" y="717177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3</xdr:row>
      <xdr:rowOff>78442</xdr:rowOff>
    </xdr:from>
    <xdr:to>
      <xdr:col>0</xdr:col>
      <xdr:colOff>1042148</xdr:colOff>
      <xdr:row>5</xdr:row>
      <xdr:rowOff>100853</xdr:rowOff>
    </xdr:to>
    <xdr:sp macro="[0]!Go_to_Table_of_Contents" textlink="">
      <xdr:nvSpPr>
        <xdr:cNvPr id="2" name="Bevel 1"/>
        <xdr:cNvSpPr/>
      </xdr:nvSpPr>
      <xdr:spPr bwMode="auto">
        <a:xfrm>
          <a:off x="89647" y="726142"/>
          <a:ext cx="952501" cy="412936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3</xdr:row>
      <xdr:rowOff>89648</xdr:rowOff>
    </xdr:from>
    <xdr:to>
      <xdr:col>0</xdr:col>
      <xdr:colOff>1030942</xdr:colOff>
      <xdr:row>5</xdr:row>
      <xdr:rowOff>100853</xdr:rowOff>
    </xdr:to>
    <xdr:sp macro="[0]!Go_to_Table_of_Contents" textlink="">
      <xdr:nvSpPr>
        <xdr:cNvPr id="3" name="Bevel 2"/>
        <xdr:cNvSpPr/>
      </xdr:nvSpPr>
      <xdr:spPr bwMode="auto">
        <a:xfrm>
          <a:off x="78441" y="739589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3</xdr:row>
      <xdr:rowOff>78441</xdr:rowOff>
    </xdr:from>
    <xdr:to>
      <xdr:col>0</xdr:col>
      <xdr:colOff>1030942</xdr:colOff>
      <xdr:row>5</xdr:row>
      <xdr:rowOff>89647</xdr:rowOff>
    </xdr:to>
    <xdr:sp macro="[0]!Go_to_Table_of_Contents" textlink="">
      <xdr:nvSpPr>
        <xdr:cNvPr id="3" name="Bevel 2"/>
        <xdr:cNvSpPr/>
      </xdr:nvSpPr>
      <xdr:spPr bwMode="auto">
        <a:xfrm>
          <a:off x="78441" y="683559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3</xdr:row>
      <xdr:rowOff>78442</xdr:rowOff>
    </xdr:from>
    <xdr:to>
      <xdr:col>0</xdr:col>
      <xdr:colOff>1019736</xdr:colOff>
      <xdr:row>5</xdr:row>
      <xdr:rowOff>89647</xdr:rowOff>
    </xdr:to>
    <xdr:sp macro="[0]!Go_to_Table_of_Contents" textlink="">
      <xdr:nvSpPr>
        <xdr:cNvPr id="3" name="Bevel 2"/>
        <xdr:cNvSpPr/>
      </xdr:nvSpPr>
      <xdr:spPr bwMode="auto">
        <a:xfrm>
          <a:off x="67235" y="728383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3</xdr:row>
      <xdr:rowOff>44824</xdr:rowOff>
    </xdr:from>
    <xdr:to>
      <xdr:col>0</xdr:col>
      <xdr:colOff>1075766</xdr:colOff>
      <xdr:row>5</xdr:row>
      <xdr:rowOff>0</xdr:rowOff>
    </xdr:to>
    <xdr:sp macro="[0]!Go_to_Table_of_Contents" textlink="">
      <xdr:nvSpPr>
        <xdr:cNvPr id="3" name="Bevel 2"/>
        <xdr:cNvSpPr/>
      </xdr:nvSpPr>
      <xdr:spPr bwMode="auto">
        <a:xfrm>
          <a:off x="123265" y="694765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134471</xdr:colOff>
      <xdr:row>3</xdr:row>
      <xdr:rowOff>56029</xdr:rowOff>
    </xdr:from>
    <xdr:to>
      <xdr:col>0</xdr:col>
      <xdr:colOff>1086972</xdr:colOff>
      <xdr:row>5</xdr:row>
      <xdr:rowOff>22411</xdr:rowOff>
    </xdr:to>
    <xdr:sp macro="[0]!Go_to_Table_of_Contents" textlink="">
      <xdr:nvSpPr>
        <xdr:cNvPr id="3" name="Bevel 2"/>
        <xdr:cNvSpPr/>
      </xdr:nvSpPr>
      <xdr:spPr bwMode="auto">
        <a:xfrm>
          <a:off x="134471" y="705970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3</xdr:row>
      <xdr:rowOff>56029</xdr:rowOff>
    </xdr:from>
    <xdr:to>
      <xdr:col>0</xdr:col>
      <xdr:colOff>1064560</xdr:colOff>
      <xdr:row>5</xdr:row>
      <xdr:rowOff>11205</xdr:rowOff>
    </xdr:to>
    <xdr:sp macro="[0]!Go_to_Table_of_Contents" textlink="">
      <xdr:nvSpPr>
        <xdr:cNvPr id="3" name="Bevel 2"/>
        <xdr:cNvSpPr/>
      </xdr:nvSpPr>
      <xdr:spPr bwMode="auto">
        <a:xfrm>
          <a:off x="112059" y="705970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0</xdr:rowOff>
    </xdr:from>
    <xdr:to>
      <xdr:col>3</xdr:col>
      <xdr:colOff>723900</xdr:colOff>
      <xdr:row>8</xdr:row>
      <xdr:rowOff>9525</xdr:rowOff>
    </xdr:to>
    <xdr:sp macro="[0]!Print_Contents" textlink="">
      <xdr:nvSpPr>
        <xdr:cNvPr id="3" name="Bevel 2"/>
        <xdr:cNvSpPr/>
      </xdr:nvSpPr>
      <xdr:spPr bwMode="auto">
        <a:xfrm>
          <a:off x="7210425" y="1381125"/>
          <a:ext cx="704850" cy="200025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8</xdr:row>
      <xdr:rowOff>0</xdr:rowOff>
    </xdr:from>
    <xdr:to>
      <xdr:col>3</xdr:col>
      <xdr:colOff>723900</xdr:colOff>
      <xdr:row>9</xdr:row>
      <xdr:rowOff>9525</xdr:rowOff>
    </xdr:to>
    <xdr:sp macro="[0]!Print_Highlights" textlink="">
      <xdr:nvSpPr>
        <xdr:cNvPr id="4" name="Bevel 3"/>
        <xdr:cNvSpPr/>
      </xdr:nvSpPr>
      <xdr:spPr bwMode="auto">
        <a:xfrm>
          <a:off x="7210425" y="1381125"/>
          <a:ext cx="704850" cy="200025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12</xdr:row>
      <xdr:rowOff>171450</xdr:rowOff>
    </xdr:from>
    <xdr:to>
      <xdr:col>3</xdr:col>
      <xdr:colOff>723900</xdr:colOff>
      <xdr:row>13</xdr:row>
      <xdr:rowOff>171450</xdr:rowOff>
    </xdr:to>
    <xdr:sp macro="[0]!Print_PC_UW" textlink="">
      <xdr:nvSpPr>
        <xdr:cNvPr id="9" name="Bevel 8"/>
        <xdr:cNvSpPr/>
      </xdr:nvSpPr>
      <xdr:spPr bwMode="auto">
        <a:xfrm>
          <a:off x="7210425" y="2505075"/>
          <a:ext cx="704850" cy="190500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28574</xdr:colOff>
      <xdr:row>14</xdr:row>
      <xdr:rowOff>180976</xdr:rowOff>
    </xdr:from>
    <xdr:to>
      <xdr:col>3</xdr:col>
      <xdr:colOff>723899</xdr:colOff>
      <xdr:row>15</xdr:row>
      <xdr:rowOff>180976</xdr:rowOff>
    </xdr:to>
    <xdr:sp macro="[0]!Print_PC_PT_UW" textlink="">
      <xdr:nvSpPr>
        <xdr:cNvPr id="12" name="Bevel 11"/>
        <xdr:cNvSpPr/>
      </xdr:nvSpPr>
      <xdr:spPr bwMode="auto">
        <a:xfrm>
          <a:off x="7219949" y="2895601"/>
          <a:ext cx="695325" cy="190500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16</xdr:row>
      <xdr:rowOff>0</xdr:rowOff>
    </xdr:from>
    <xdr:to>
      <xdr:col>3</xdr:col>
      <xdr:colOff>723900</xdr:colOff>
      <xdr:row>17</xdr:row>
      <xdr:rowOff>9525</xdr:rowOff>
    </xdr:to>
    <xdr:sp macro="[0]!Print_PC_SC_UW" textlink="">
      <xdr:nvSpPr>
        <xdr:cNvPr id="13" name="Bevel 12"/>
        <xdr:cNvSpPr/>
      </xdr:nvSpPr>
      <xdr:spPr bwMode="auto">
        <a:xfrm>
          <a:off x="7210425" y="2333625"/>
          <a:ext cx="704850" cy="200025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17</xdr:row>
      <xdr:rowOff>0</xdr:rowOff>
    </xdr:from>
    <xdr:to>
      <xdr:col>3</xdr:col>
      <xdr:colOff>723900</xdr:colOff>
      <xdr:row>18</xdr:row>
      <xdr:rowOff>9525</xdr:rowOff>
    </xdr:to>
    <xdr:sp macro="[0]!Print_PC_SF_UW" textlink="">
      <xdr:nvSpPr>
        <xdr:cNvPr id="14" name="Bevel 13"/>
        <xdr:cNvSpPr/>
      </xdr:nvSpPr>
      <xdr:spPr bwMode="auto">
        <a:xfrm>
          <a:off x="7210425" y="2333625"/>
          <a:ext cx="704850" cy="200025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18</xdr:row>
      <xdr:rowOff>19050</xdr:rowOff>
    </xdr:from>
    <xdr:to>
      <xdr:col>3</xdr:col>
      <xdr:colOff>723900</xdr:colOff>
      <xdr:row>19</xdr:row>
      <xdr:rowOff>19050</xdr:rowOff>
    </xdr:to>
    <xdr:sp macro="[0]!Print_PC_Other_UW" textlink="">
      <xdr:nvSpPr>
        <xdr:cNvPr id="15" name="Bevel 14"/>
        <xdr:cNvSpPr/>
      </xdr:nvSpPr>
      <xdr:spPr bwMode="auto">
        <a:xfrm>
          <a:off x="7210425" y="3495675"/>
          <a:ext cx="704850" cy="190500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21</xdr:row>
      <xdr:rowOff>1</xdr:rowOff>
    </xdr:from>
    <xdr:to>
      <xdr:col>3</xdr:col>
      <xdr:colOff>723900</xdr:colOff>
      <xdr:row>22</xdr:row>
      <xdr:rowOff>22413</xdr:rowOff>
    </xdr:to>
    <xdr:sp macro="[0]!Print_Annuity_Results" textlink="">
      <xdr:nvSpPr>
        <xdr:cNvPr id="17" name="Bevel 16"/>
        <xdr:cNvSpPr/>
      </xdr:nvSpPr>
      <xdr:spPr bwMode="auto">
        <a:xfrm>
          <a:off x="7459756" y="4067736"/>
          <a:ext cx="704850" cy="212912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9525</xdr:colOff>
      <xdr:row>23</xdr:row>
      <xdr:rowOff>0</xdr:rowOff>
    </xdr:from>
    <xdr:to>
      <xdr:col>3</xdr:col>
      <xdr:colOff>723900</xdr:colOff>
      <xdr:row>24</xdr:row>
      <xdr:rowOff>0</xdr:rowOff>
    </xdr:to>
    <xdr:sp macro="[0]!Print_Annuity_Spread" textlink="">
      <xdr:nvSpPr>
        <xdr:cNvPr id="18" name="Bevel 17"/>
        <xdr:cNvSpPr/>
      </xdr:nvSpPr>
      <xdr:spPr bwMode="auto">
        <a:xfrm>
          <a:off x="7200900" y="4238625"/>
          <a:ext cx="714375" cy="209550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24</xdr:row>
      <xdr:rowOff>0</xdr:rowOff>
    </xdr:from>
    <xdr:to>
      <xdr:col>3</xdr:col>
      <xdr:colOff>723900</xdr:colOff>
      <xdr:row>24</xdr:row>
      <xdr:rowOff>9525</xdr:rowOff>
    </xdr:to>
    <xdr:sp macro="[0]!Print_Annuity_Benifit_Exp" textlink="">
      <xdr:nvSpPr>
        <xdr:cNvPr id="19" name="Bevel 18"/>
        <xdr:cNvSpPr/>
      </xdr:nvSpPr>
      <xdr:spPr bwMode="auto">
        <a:xfrm>
          <a:off x="7210425" y="4438650"/>
          <a:ext cx="704850" cy="190500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24</xdr:row>
      <xdr:rowOff>0</xdr:rowOff>
    </xdr:from>
    <xdr:to>
      <xdr:col>3</xdr:col>
      <xdr:colOff>723900</xdr:colOff>
      <xdr:row>25</xdr:row>
      <xdr:rowOff>9525</xdr:rowOff>
    </xdr:to>
    <xdr:sp macro="[0]!Print_Annuity_STAT_Prem" textlink="">
      <xdr:nvSpPr>
        <xdr:cNvPr id="21" name="Bevel 20"/>
        <xdr:cNvSpPr/>
      </xdr:nvSpPr>
      <xdr:spPr bwMode="auto">
        <a:xfrm>
          <a:off x="7210425" y="4619625"/>
          <a:ext cx="704850" cy="200025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25</xdr:row>
      <xdr:rowOff>0</xdr:rowOff>
    </xdr:from>
    <xdr:to>
      <xdr:col>3</xdr:col>
      <xdr:colOff>723900</xdr:colOff>
      <xdr:row>26</xdr:row>
      <xdr:rowOff>9525</xdr:rowOff>
    </xdr:to>
    <xdr:sp macro="[0]!Print_Annuity_Ben_Accum" textlink="">
      <xdr:nvSpPr>
        <xdr:cNvPr id="22" name="Bevel 21"/>
        <xdr:cNvSpPr/>
      </xdr:nvSpPr>
      <xdr:spPr bwMode="auto">
        <a:xfrm>
          <a:off x="7210425" y="2333625"/>
          <a:ext cx="704850" cy="200025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28</xdr:row>
      <xdr:rowOff>0</xdr:rowOff>
    </xdr:from>
    <xdr:to>
      <xdr:col>3</xdr:col>
      <xdr:colOff>723900</xdr:colOff>
      <xdr:row>29</xdr:row>
      <xdr:rowOff>9525</xdr:rowOff>
    </xdr:to>
    <xdr:sp macro="[0]!Print_Balance_Sheet" textlink="">
      <xdr:nvSpPr>
        <xdr:cNvPr id="23" name="Bevel 22"/>
        <xdr:cNvSpPr/>
      </xdr:nvSpPr>
      <xdr:spPr bwMode="auto">
        <a:xfrm>
          <a:off x="7210425" y="2333625"/>
          <a:ext cx="704850" cy="200025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29</xdr:row>
      <xdr:rowOff>0</xdr:rowOff>
    </xdr:from>
    <xdr:to>
      <xdr:col>3</xdr:col>
      <xdr:colOff>723900</xdr:colOff>
      <xdr:row>30</xdr:row>
      <xdr:rowOff>9525</xdr:rowOff>
    </xdr:to>
    <xdr:sp macro="[0]!Print_Book_Value" textlink="">
      <xdr:nvSpPr>
        <xdr:cNvPr id="24" name="Bevel 23"/>
        <xdr:cNvSpPr/>
      </xdr:nvSpPr>
      <xdr:spPr bwMode="auto">
        <a:xfrm>
          <a:off x="7210425" y="2333625"/>
          <a:ext cx="704850" cy="200025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34</xdr:row>
      <xdr:rowOff>0</xdr:rowOff>
    </xdr:from>
    <xdr:to>
      <xdr:col>3</xdr:col>
      <xdr:colOff>723900</xdr:colOff>
      <xdr:row>35</xdr:row>
      <xdr:rowOff>9525</xdr:rowOff>
    </xdr:to>
    <xdr:sp macro="[0]!Print_Investment_Schedule" textlink="">
      <xdr:nvSpPr>
        <xdr:cNvPr id="26" name="Bevel 25"/>
        <xdr:cNvSpPr/>
      </xdr:nvSpPr>
      <xdr:spPr bwMode="auto">
        <a:xfrm>
          <a:off x="7210425" y="2333625"/>
          <a:ext cx="704850" cy="200025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39</xdr:row>
      <xdr:rowOff>0</xdr:rowOff>
    </xdr:from>
    <xdr:to>
      <xdr:col>3</xdr:col>
      <xdr:colOff>723900</xdr:colOff>
      <xdr:row>40</xdr:row>
      <xdr:rowOff>9525</xdr:rowOff>
    </xdr:to>
    <xdr:sp macro="[0]!Print_MBS_Segment" textlink="">
      <xdr:nvSpPr>
        <xdr:cNvPr id="28" name="Bevel 27"/>
        <xdr:cNvSpPr/>
      </xdr:nvSpPr>
      <xdr:spPr bwMode="auto">
        <a:xfrm>
          <a:off x="7210425" y="2333625"/>
          <a:ext cx="704850" cy="200025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40</xdr:row>
      <xdr:rowOff>9525</xdr:rowOff>
    </xdr:from>
    <xdr:to>
      <xdr:col>3</xdr:col>
      <xdr:colOff>723900</xdr:colOff>
      <xdr:row>41</xdr:row>
      <xdr:rowOff>9525</xdr:rowOff>
    </xdr:to>
    <xdr:sp macro="[0]!Print_MBS_by_Rating" textlink="">
      <xdr:nvSpPr>
        <xdr:cNvPr id="29" name="Bevel 28"/>
        <xdr:cNvSpPr/>
      </xdr:nvSpPr>
      <xdr:spPr bwMode="auto">
        <a:xfrm>
          <a:off x="7210425" y="7677150"/>
          <a:ext cx="704850" cy="190500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35</xdr:row>
      <xdr:rowOff>0</xdr:rowOff>
    </xdr:from>
    <xdr:to>
      <xdr:col>3</xdr:col>
      <xdr:colOff>723900</xdr:colOff>
      <xdr:row>36</xdr:row>
      <xdr:rowOff>19049</xdr:rowOff>
    </xdr:to>
    <xdr:sp macro="[0]!Print_Fixed_Maturity_AFGCons" textlink="">
      <xdr:nvSpPr>
        <xdr:cNvPr id="31" name="Bevel 30"/>
        <xdr:cNvSpPr/>
      </xdr:nvSpPr>
      <xdr:spPr bwMode="auto">
        <a:xfrm>
          <a:off x="7210425" y="6905625"/>
          <a:ext cx="704850" cy="209549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38</xdr:row>
      <xdr:rowOff>1</xdr:rowOff>
    </xdr:from>
    <xdr:to>
      <xdr:col>3</xdr:col>
      <xdr:colOff>723900</xdr:colOff>
      <xdr:row>39</xdr:row>
      <xdr:rowOff>1</xdr:rowOff>
    </xdr:to>
    <xdr:sp macro="[0]!Print_MBS_AFG_Cons_Port" textlink="">
      <xdr:nvSpPr>
        <xdr:cNvPr id="32" name="Bevel 31"/>
        <xdr:cNvSpPr/>
      </xdr:nvSpPr>
      <xdr:spPr bwMode="auto">
        <a:xfrm>
          <a:off x="7210425" y="6905626"/>
          <a:ext cx="704850" cy="190500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8</xdr:row>
      <xdr:rowOff>180975</xdr:rowOff>
    </xdr:from>
    <xdr:to>
      <xdr:col>3</xdr:col>
      <xdr:colOff>723900</xdr:colOff>
      <xdr:row>10</xdr:row>
      <xdr:rowOff>0</xdr:rowOff>
    </xdr:to>
    <xdr:sp macro="[0]!Print_Summary_of_Earnings" textlink="">
      <xdr:nvSpPr>
        <xdr:cNvPr id="33" name="Bevel 32"/>
        <xdr:cNvSpPr>
          <a:spLocks/>
        </xdr:cNvSpPr>
      </xdr:nvSpPr>
      <xdr:spPr bwMode="auto">
        <a:xfrm>
          <a:off x="7210425" y="1752600"/>
          <a:ext cx="704850" cy="200025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10</xdr:row>
      <xdr:rowOff>1</xdr:rowOff>
    </xdr:from>
    <xdr:to>
      <xdr:col>3</xdr:col>
      <xdr:colOff>723900</xdr:colOff>
      <xdr:row>11</xdr:row>
      <xdr:rowOff>1</xdr:rowOff>
    </xdr:to>
    <xdr:sp macro="[0]!Print_EPS_Summary" textlink="">
      <xdr:nvSpPr>
        <xdr:cNvPr id="34" name="Bevel 33"/>
        <xdr:cNvSpPr/>
      </xdr:nvSpPr>
      <xdr:spPr bwMode="auto">
        <a:xfrm>
          <a:off x="7210425" y="1952626"/>
          <a:ext cx="704850" cy="190500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13</xdr:row>
      <xdr:rowOff>171450</xdr:rowOff>
    </xdr:from>
    <xdr:to>
      <xdr:col>3</xdr:col>
      <xdr:colOff>723900</xdr:colOff>
      <xdr:row>14</xdr:row>
      <xdr:rowOff>171450</xdr:rowOff>
    </xdr:to>
    <xdr:sp macro="[0]!Print_PC_Specialty_UW" textlink="">
      <xdr:nvSpPr>
        <xdr:cNvPr id="35" name="Bevel 34"/>
        <xdr:cNvSpPr/>
      </xdr:nvSpPr>
      <xdr:spPr bwMode="auto">
        <a:xfrm>
          <a:off x="7210425" y="2695575"/>
          <a:ext cx="704850" cy="190500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30</xdr:row>
      <xdr:rowOff>9525</xdr:rowOff>
    </xdr:from>
    <xdr:to>
      <xdr:col>3</xdr:col>
      <xdr:colOff>723900</xdr:colOff>
      <xdr:row>31</xdr:row>
      <xdr:rowOff>0</xdr:rowOff>
    </xdr:to>
    <xdr:sp macro="[0]!Print_Capitalization" textlink="">
      <xdr:nvSpPr>
        <xdr:cNvPr id="36" name="Bevel 35"/>
        <xdr:cNvSpPr/>
      </xdr:nvSpPr>
      <xdr:spPr bwMode="auto">
        <a:xfrm>
          <a:off x="7210425" y="5772150"/>
          <a:ext cx="704850" cy="200025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37</xdr:row>
      <xdr:rowOff>0</xdr:rowOff>
    </xdr:from>
    <xdr:to>
      <xdr:col>3</xdr:col>
      <xdr:colOff>723900</xdr:colOff>
      <xdr:row>37</xdr:row>
      <xdr:rowOff>180975</xdr:rowOff>
    </xdr:to>
    <xdr:sp macro="[0]!Print_FM_NAIC_Rating" textlink="">
      <xdr:nvSpPr>
        <xdr:cNvPr id="38" name="Bevel 37"/>
        <xdr:cNvSpPr/>
      </xdr:nvSpPr>
      <xdr:spPr bwMode="auto">
        <a:xfrm>
          <a:off x="7210425" y="6905625"/>
          <a:ext cx="704850" cy="180975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36</xdr:row>
      <xdr:rowOff>0</xdr:rowOff>
    </xdr:from>
    <xdr:to>
      <xdr:col>3</xdr:col>
      <xdr:colOff>723900</xdr:colOff>
      <xdr:row>37</xdr:row>
      <xdr:rowOff>19049</xdr:rowOff>
    </xdr:to>
    <xdr:sp macro="[0]!Print_Fixed_Maturity_Segment" textlink="">
      <xdr:nvSpPr>
        <xdr:cNvPr id="39" name="Bevel 38"/>
        <xdr:cNvSpPr/>
      </xdr:nvSpPr>
      <xdr:spPr bwMode="auto">
        <a:xfrm>
          <a:off x="7210425" y="6905625"/>
          <a:ext cx="704850" cy="209549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1</xdr:col>
      <xdr:colOff>714374</xdr:colOff>
      <xdr:row>0</xdr:row>
      <xdr:rowOff>209550</xdr:rowOff>
    </xdr:from>
    <xdr:to>
      <xdr:col>3</xdr:col>
      <xdr:colOff>761999</xdr:colOff>
      <xdr:row>3</xdr:row>
      <xdr:rowOff>9525</xdr:rowOff>
    </xdr:to>
    <xdr:sp macro="[0]!PRINT_FINAL" textlink="">
      <xdr:nvSpPr>
        <xdr:cNvPr id="40" name="Bevel 39"/>
        <xdr:cNvSpPr/>
      </xdr:nvSpPr>
      <xdr:spPr bwMode="auto">
        <a:xfrm>
          <a:off x="6476999" y="209550"/>
          <a:ext cx="1476375" cy="419100"/>
        </a:xfrm>
        <a:prstGeom prst="bevel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 Complete Quarterly</a:t>
          </a:r>
          <a:r>
            <a:rPr lang="en-US" sz="1000" b="1" baseline="0"/>
            <a:t> Investor Supplement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8</xdr:row>
      <xdr:rowOff>0</xdr:rowOff>
    </xdr:from>
    <xdr:to>
      <xdr:col>2</xdr:col>
      <xdr:colOff>704850</xdr:colOff>
      <xdr:row>9</xdr:row>
      <xdr:rowOff>9525</xdr:rowOff>
    </xdr:to>
    <xdr:sp macro="[0]!Print_Contents" textlink="">
      <xdr:nvSpPr>
        <xdr:cNvPr id="44" name="Bevel 43">
          <a:hlinkClick xmlns:r="http://schemas.openxmlformats.org/officeDocument/2006/relationships" r:id="rId1"/>
        </xdr:cNvPr>
        <xdr:cNvSpPr/>
      </xdr:nvSpPr>
      <xdr:spPr bwMode="auto">
        <a:xfrm>
          <a:off x="6477000" y="15716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9</xdr:row>
      <xdr:rowOff>0</xdr:rowOff>
    </xdr:from>
    <xdr:to>
      <xdr:col>2</xdr:col>
      <xdr:colOff>704850</xdr:colOff>
      <xdr:row>10</xdr:row>
      <xdr:rowOff>9525</xdr:rowOff>
    </xdr:to>
    <xdr:sp macro="[0]!Print_Contents" textlink="">
      <xdr:nvSpPr>
        <xdr:cNvPr id="46" name="Bevel 45">
          <a:hlinkClick xmlns:r="http://schemas.openxmlformats.org/officeDocument/2006/relationships" r:id="rId2"/>
        </xdr:cNvPr>
        <xdr:cNvSpPr/>
      </xdr:nvSpPr>
      <xdr:spPr bwMode="auto">
        <a:xfrm>
          <a:off x="6477000" y="17621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10</xdr:row>
      <xdr:rowOff>0</xdr:rowOff>
    </xdr:from>
    <xdr:to>
      <xdr:col>2</xdr:col>
      <xdr:colOff>704850</xdr:colOff>
      <xdr:row>11</xdr:row>
      <xdr:rowOff>9525</xdr:rowOff>
    </xdr:to>
    <xdr:sp macro="[0]!Print_Contents" textlink="">
      <xdr:nvSpPr>
        <xdr:cNvPr id="47" name="Bevel 46">
          <a:hlinkClick xmlns:r="http://schemas.openxmlformats.org/officeDocument/2006/relationships" r:id="rId3"/>
        </xdr:cNvPr>
        <xdr:cNvSpPr/>
      </xdr:nvSpPr>
      <xdr:spPr bwMode="auto">
        <a:xfrm>
          <a:off x="6477000" y="19526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13</xdr:row>
      <xdr:rowOff>0</xdr:rowOff>
    </xdr:from>
    <xdr:to>
      <xdr:col>2</xdr:col>
      <xdr:colOff>704850</xdr:colOff>
      <xdr:row>14</xdr:row>
      <xdr:rowOff>9525</xdr:rowOff>
    </xdr:to>
    <xdr:sp macro="[0]!Print_Contents" textlink="">
      <xdr:nvSpPr>
        <xdr:cNvPr id="48" name="Bevel 47">
          <a:hlinkClick xmlns:r="http://schemas.openxmlformats.org/officeDocument/2006/relationships" r:id="rId4"/>
        </xdr:cNvPr>
        <xdr:cNvSpPr/>
      </xdr:nvSpPr>
      <xdr:spPr bwMode="auto">
        <a:xfrm>
          <a:off x="6477000" y="25241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14</xdr:row>
      <xdr:rowOff>0</xdr:rowOff>
    </xdr:from>
    <xdr:to>
      <xdr:col>2</xdr:col>
      <xdr:colOff>704850</xdr:colOff>
      <xdr:row>15</xdr:row>
      <xdr:rowOff>9525</xdr:rowOff>
    </xdr:to>
    <xdr:sp macro="[0]!Print_Contents" textlink="">
      <xdr:nvSpPr>
        <xdr:cNvPr id="49" name="Bevel 48">
          <a:hlinkClick xmlns:r="http://schemas.openxmlformats.org/officeDocument/2006/relationships" r:id="rId5"/>
        </xdr:cNvPr>
        <xdr:cNvSpPr/>
      </xdr:nvSpPr>
      <xdr:spPr bwMode="auto">
        <a:xfrm>
          <a:off x="6477000" y="27146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15</xdr:row>
      <xdr:rowOff>0</xdr:rowOff>
    </xdr:from>
    <xdr:to>
      <xdr:col>2</xdr:col>
      <xdr:colOff>704850</xdr:colOff>
      <xdr:row>16</xdr:row>
      <xdr:rowOff>9525</xdr:rowOff>
    </xdr:to>
    <xdr:sp macro="[0]!Print_Contents" textlink="">
      <xdr:nvSpPr>
        <xdr:cNvPr id="50" name="Bevel 49">
          <a:hlinkClick xmlns:r="http://schemas.openxmlformats.org/officeDocument/2006/relationships" r:id="rId6"/>
        </xdr:cNvPr>
        <xdr:cNvSpPr/>
      </xdr:nvSpPr>
      <xdr:spPr bwMode="auto">
        <a:xfrm>
          <a:off x="6477000" y="29051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16</xdr:row>
      <xdr:rowOff>0</xdr:rowOff>
    </xdr:from>
    <xdr:to>
      <xdr:col>2</xdr:col>
      <xdr:colOff>704850</xdr:colOff>
      <xdr:row>17</xdr:row>
      <xdr:rowOff>9525</xdr:rowOff>
    </xdr:to>
    <xdr:sp macro="[0]!Print_Contents" textlink="">
      <xdr:nvSpPr>
        <xdr:cNvPr id="51" name="Bevel 50">
          <a:hlinkClick xmlns:r="http://schemas.openxmlformats.org/officeDocument/2006/relationships" r:id="rId7"/>
        </xdr:cNvPr>
        <xdr:cNvSpPr/>
      </xdr:nvSpPr>
      <xdr:spPr bwMode="auto">
        <a:xfrm>
          <a:off x="6477000" y="30956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17</xdr:row>
      <xdr:rowOff>0</xdr:rowOff>
    </xdr:from>
    <xdr:to>
      <xdr:col>2</xdr:col>
      <xdr:colOff>704850</xdr:colOff>
      <xdr:row>18</xdr:row>
      <xdr:rowOff>9525</xdr:rowOff>
    </xdr:to>
    <xdr:sp macro="[0]!Print_Contents" textlink="">
      <xdr:nvSpPr>
        <xdr:cNvPr id="52" name="Bevel 51">
          <a:hlinkClick xmlns:r="http://schemas.openxmlformats.org/officeDocument/2006/relationships" r:id="rId8"/>
        </xdr:cNvPr>
        <xdr:cNvSpPr/>
      </xdr:nvSpPr>
      <xdr:spPr bwMode="auto">
        <a:xfrm>
          <a:off x="6477000" y="32861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18</xdr:row>
      <xdr:rowOff>0</xdr:rowOff>
    </xdr:from>
    <xdr:to>
      <xdr:col>2</xdr:col>
      <xdr:colOff>704850</xdr:colOff>
      <xdr:row>19</xdr:row>
      <xdr:rowOff>9525</xdr:rowOff>
    </xdr:to>
    <xdr:sp macro="[0]!Print_Contents" textlink="">
      <xdr:nvSpPr>
        <xdr:cNvPr id="53" name="Bevel 52">
          <a:hlinkClick xmlns:r="http://schemas.openxmlformats.org/officeDocument/2006/relationships" r:id="rId9"/>
        </xdr:cNvPr>
        <xdr:cNvSpPr/>
      </xdr:nvSpPr>
      <xdr:spPr bwMode="auto">
        <a:xfrm>
          <a:off x="6477000" y="34766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21</xdr:row>
      <xdr:rowOff>1</xdr:rowOff>
    </xdr:from>
    <xdr:to>
      <xdr:col>2</xdr:col>
      <xdr:colOff>704850</xdr:colOff>
      <xdr:row>22</xdr:row>
      <xdr:rowOff>11207</xdr:rowOff>
    </xdr:to>
    <xdr:sp macro="[0]!Print_Contents" textlink="">
      <xdr:nvSpPr>
        <xdr:cNvPr id="54" name="Bevel 53">
          <a:hlinkClick xmlns:r="http://schemas.openxmlformats.org/officeDocument/2006/relationships" r:id="rId10"/>
        </xdr:cNvPr>
        <xdr:cNvSpPr/>
      </xdr:nvSpPr>
      <xdr:spPr bwMode="auto">
        <a:xfrm>
          <a:off x="6723529" y="4067736"/>
          <a:ext cx="704850" cy="201706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23</xdr:row>
      <xdr:rowOff>0</xdr:rowOff>
    </xdr:from>
    <xdr:to>
      <xdr:col>2</xdr:col>
      <xdr:colOff>704850</xdr:colOff>
      <xdr:row>24</xdr:row>
      <xdr:rowOff>0</xdr:rowOff>
    </xdr:to>
    <xdr:sp macro="[0]!Print_Contents" textlink="">
      <xdr:nvSpPr>
        <xdr:cNvPr id="55" name="Bevel 54">
          <a:hlinkClick xmlns:r="http://schemas.openxmlformats.org/officeDocument/2006/relationships" r:id="rId11"/>
        </xdr:cNvPr>
        <xdr:cNvSpPr/>
      </xdr:nvSpPr>
      <xdr:spPr bwMode="auto">
        <a:xfrm>
          <a:off x="6477000" y="42386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24</xdr:row>
      <xdr:rowOff>0</xdr:rowOff>
    </xdr:from>
    <xdr:to>
      <xdr:col>2</xdr:col>
      <xdr:colOff>704850</xdr:colOff>
      <xdr:row>24</xdr:row>
      <xdr:rowOff>9525</xdr:rowOff>
    </xdr:to>
    <xdr:sp macro="[0]!Print_Contents" textlink="">
      <xdr:nvSpPr>
        <xdr:cNvPr id="56" name="Bevel 55">
          <a:hlinkClick xmlns:r="http://schemas.openxmlformats.org/officeDocument/2006/relationships" r:id="rId12"/>
        </xdr:cNvPr>
        <xdr:cNvSpPr/>
      </xdr:nvSpPr>
      <xdr:spPr bwMode="auto">
        <a:xfrm>
          <a:off x="6477000" y="44291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24</xdr:row>
      <xdr:rowOff>0</xdr:rowOff>
    </xdr:from>
    <xdr:to>
      <xdr:col>2</xdr:col>
      <xdr:colOff>704850</xdr:colOff>
      <xdr:row>25</xdr:row>
      <xdr:rowOff>9525</xdr:rowOff>
    </xdr:to>
    <xdr:sp macro="[0]!Print_Contents" textlink="">
      <xdr:nvSpPr>
        <xdr:cNvPr id="57" name="Bevel 56">
          <a:hlinkClick xmlns:r="http://schemas.openxmlformats.org/officeDocument/2006/relationships" r:id="rId13"/>
        </xdr:cNvPr>
        <xdr:cNvSpPr/>
      </xdr:nvSpPr>
      <xdr:spPr bwMode="auto">
        <a:xfrm>
          <a:off x="6477000" y="46196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25</xdr:row>
      <xdr:rowOff>0</xdr:rowOff>
    </xdr:from>
    <xdr:to>
      <xdr:col>2</xdr:col>
      <xdr:colOff>704850</xdr:colOff>
      <xdr:row>26</xdr:row>
      <xdr:rowOff>9525</xdr:rowOff>
    </xdr:to>
    <xdr:sp macro="[0]!Print_Contents" textlink="">
      <xdr:nvSpPr>
        <xdr:cNvPr id="58" name="Bevel 57">
          <a:hlinkClick xmlns:r="http://schemas.openxmlformats.org/officeDocument/2006/relationships" r:id="rId14"/>
        </xdr:cNvPr>
        <xdr:cNvSpPr/>
      </xdr:nvSpPr>
      <xdr:spPr bwMode="auto">
        <a:xfrm>
          <a:off x="6477000" y="48101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28</xdr:row>
      <xdr:rowOff>0</xdr:rowOff>
    </xdr:from>
    <xdr:to>
      <xdr:col>2</xdr:col>
      <xdr:colOff>704850</xdr:colOff>
      <xdr:row>29</xdr:row>
      <xdr:rowOff>9525</xdr:rowOff>
    </xdr:to>
    <xdr:sp macro="[0]!Print_Contents" textlink="">
      <xdr:nvSpPr>
        <xdr:cNvPr id="59" name="Bevel 58">
          <a:hlinkClick xmlns:r="http://schemas.openxmlformats.org/officeDocument/2006/relationships" r:id="rId15"/>
        </xdr:cNvPr>
        <xdr:cNvSpPr/>
      </xdr:nvSpPr>
      <xdr:spPr bwMode="auto">
        <a:xfrm>
          <a:off x="6477000" y="53816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29</xdr:row>
      <xdr:rowOff>0</xdr:rowOff>
    </xdr:from>
    <xdr:to>
      <xdr:col>2</xdr:col>
      <xdr:colOff>704850</xdr:colOff>
      <xdr:row>30</xdr:row>
      <xdr:rowOff>9525</xdr:rowOff>
    </xdr:to>
    <xdr:sp macro="[0]!Print_Contents" textlink="">
      <xdr:nvSpPr>
        <xdr:cNvPr id="60" name="Bevel 59">
          <a:hlinkClick xmlns:r="http://schemas.openxmlformats.org/officeDocument/2006/relationships" r:id="rId16"/>
        </xdr:cNvPr>
        <xdr:cNvSpPr/>
      </xdr:nvSpPr>
      <xdr:spPr bwMode="auto">
        <a:xfrm>
          <a:off x="6477000" y="55721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30</xdr:row>
      <xdr:rowOff>0</xdr:rowOff>
    </xdr:from>
    <xdr:to>
      <xdr:col>2</xdr:col>
      <xdr:colOff>704850</xdr:colOff>
      <xdr:row>31</xdr:row>
      <xdr:rowOff>0</xdr:rowOff>
    </xdr:to>
    <xdr:sp macro="[0]!Print_Contents" textlink="">
      <xdr:nvSpPr>
        <xdr:cNvPr id="61" name="Bevel 60">
          <a:hlinkClick xmlns:r="http://schemas.openxmlformats.org/officeDocument/2006/relationships" r:id="rId17"/>
        </xdr:cNvPr>
        <xdr:cNvSpPr/>
      </xdr:nvSpPr>
      <xdr:spPr bwMode="auto">
        <a:xfrm>
          <a:off x="6477000" y="57626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34</xdr:row>
      <xdr:rowOff>0</xdr:rowOff>
    </xdr:from>
    <xdr:to>
      <xdr:col>2</xdr:col>
      <xdr:colOff>704850</xdr:colOff>
      <xdr:row>35</xdr:row>
      <xdr:rowOff>9525</xdr:rowOff>
    </xdr:to>
    <xdr:sp macro="[0]!Print_Contents" textlink="">
      <xdr:nvSpPr>
        <xdr:cNvPr id="63" name="Bevel 62">
          <a:hlinkClick xmlns:r="http://schemas.openxmlformats.org/officeDocument/2006/relationships" r:id="rId18"/>
        </xdr:cNvPr>
        <xdr:cNvSpPr/>
      </xdr:nvSpPr>
      <xdr:spPr bwMode="auto">
        <a:xfrm>
          <a:off x="6477000" y="65246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35</xdr:row>
      <xdr:rowOff>0</xdr:rowOff>
    </xdr:from>
    <xdr:to>
      <xdr:col>2</xdr:col>
      <xdr:colOff>704850</xdr:colOff>
      <xdr:row>36</xdr:row>
      <xdr:rowOff>9525</xdr:rowOff>
    </xdr:to>
    <xdr:sp macro="[0]!Print_Contents" textlink="">
      <xdr:nvSpPr>
        <xdr:cNvPr id="64" name="Bevel 63">
          <a:hlinkClick xmlns:r="http://schemas.openxmlformats.org/officeDocument/2006/relationships" r:id="rId19"/>
        </xdr:cNvPr>
        <xdr:cNvSpPr/>
      </xdr:nvSpPr>
      <xdr:spPr bwMode="auto">
        <a:xfrm>
          <a:off x="6477000" y="67151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36</xdr:row>
      <xdr:rowOff>0</xdr:rowOff>
    </xdr:from>
    <xdr:to>
      <xdr:col>2</xdr:col>
      <xdr:colOff>704850</xdr:colOff>
      <xdr:row>37</xdr:row>
      <xdr:rowOff>9525</xdr:rowOff>
    </xdr:to>
    <xdr:sp macro="[0]!Print_Contents" textlink="">
      <xdr:nvSpPr>
        <xdr:cNvPr id="65" name="Bevel 64">
          <a:hlinkClick xmlns:r="http://schemas.openxmlformats.org/officeDocument/2006/relationships" r:id="rId20"/>
        </xdr:cNvPr>
        <xdr:cNvSpPr/>
      </xdr:nvSpPr>
      <xdr:spPr bwMode="auto">
        <a:xfrm>
          <a:off x="6477000" y="69056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37</xdr:row>
      <xdr:rowOff>0</xdr:rowOff>
    </xdr:from>
    <xdr:to>
      <xdr:col>2</xdr:col>
      <xdr:colOff>704850</xdr:colOff>
      <xdr:row>38</xdr:row>
      <xdr:rowOff>9525</xdr:rowOff>
    </xdr:to>
    <xdr:sp macro="[0]!Print_Contents" textlink="">
      <xdr:nvSpPr>
        <xdr:cNvPr id="66" name="Bevel 65">
          <a:hlinkClick xmlns:r="http://schemas.openxmlformats.org/officeDocument/2006/relationships" r:id="rId21"/>
        </xdr:cNvPr>
        <xdr:cNvSpPr/>
      </xdr:nvSpPr>
      <xdr:spPr bwMode="auto">
        <a:xfrm>
          <a:off x="6477000" y="70961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38</xdr:row>
      <xdr:rowOff>0</xdr:rowOff>
    </xdr:from>
    <xdr:to>
      <xdr:col>2</xdr:col>
      <xdr:colOff>704850</xdr:colOff>
      <xdr:row>39</xdr:row>
      <xdr:rowOff>9525</xdr:rowOff>
    </xdr:to>
    <xdr:sp macro="[0]!Print_Contents" textlink="">
      <xdr:nvSpPr>
        <xdr:cNvPr id="67" name="Bevel 66">
          <a:hlinkClick xmlns:r="http://schemas.openxmlformats.org/officeDocument/2006/relationships" r:id="rId22"/>
        </xdr:cNvPr>
        <xdr:cNvSpPr/>
      </xdr:nvSpPr>
      <xdr:spPr bwMode="auto">
        <a:xfrm>
          <a:off x="6477000" y="72866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39</xdr:row>
      <xdr:rowOff>0</xdr:rowOff>
    </xdr:from>
    <xdr:to>
      <xdr:col>2</xdr:col>
      <xdr:colOff>704850</xdr:colOff>
      <xdr:row>40</xdr:row>
      <xdr:rowOff>9525</xdr:rowOff>
    </xdr:to>
    <xdr:sp macro="[0]!Print_Contents" textlink="">
      <xdr:nvSpPr>
        <xdr:cNvPr id="68" name="Bevel 67">
          <a:hlinkClick xmlns:r="http://schemas.openxmlformats.org/officeDocument/2006/relationships" r:id="rId23"/>
        </xdr:cNvPr>
        <xdr:cNvSpPr/>
      </xdr:nvSpPr>
      <xdr:spPr bwMode="auto">
        <a:xfrm>
          <a:off x="6477000" y="74771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40</xdr:row>
      <xdr:rowOff>0</xdr:rowOff>
    </xdr:from>
    <xdr:to>
      <xdr:col>2</xdr:col>
      <xdr:colOff>704850</xdr:colOff>
      <xdr:row>41</xdr:row>
      <xdr:rowOff>9525</xdr:rowOff>
    </xdr:to>
    <xdr:sp macro="[0]!Print_Contents" textlink="">
      <xdr:nvSpPr>
        <xdr:cNvPr id="69" name="Bevel 68">
          <a:hlinkClick xmlns:r="http://schemas.openxmlformats.org/officeDocument/2006/relationships" r:id="rId24"/>
        </xdr:cNvPr>
        <xdr:cNvSpPr/>
      </xdr:nvSpPr>
      <xdr:spPr bwMode="auto">
        <a:xfrm>
          <a:off x="6477000" y="7667625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3</xdr:col>
      <xdr:colOff>19050</xdr:colOff>
      <xdr:row>30</xdr:row>
      <xdr:rowOff>0</xdr:rowOff>
    </xdr:from>
    <xdr:to>
      <xdr:col>3</xdr:col>
      <xdr:colOff>723900</xdr:colOff>
      <xdr:row>31</xdr:row>
      <xdr:rowOff>9525</xdr:rowOff>
    </xdr:to>
    <xdr:sp macro="[0]!Print_Capitalization" textlink="">
      <xdr:nvSpPr>
        <xdr:cNvPr id="71" name="Bevel 70"/>
        <xdr:cNvSpPr/>
      </xdr:nvSpPr>
      <xdr:spPr bwMode="auto">
        <a:xfrm>
          <a:off x="7459756" y="5412441"/>
          <a:ext cx="704850" cy="200025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3</xdr:col>
      <xdr:colOff>19050</xdr:colOff>
      <xdr:row>31</xdr:row>
      <xdr:rowOff>9525</xdr:rowOff>
    </xdr:from>
    <xdr:to>
      <xdr:col>3</xdr:col>
      <xdr:colOff>723900</xdr:colOff>
      <xdr:row>32</xdr:row>
      <xdr:rowOff>0</xdr:rowOff>
    </xdr:to>
    <xdr:sp macro="[0]!Print_Additional_Supp_Data" textlink="">
      <xdr:nvSpPr>
        <xdr:cNvPr id="72" name="Bevel 71"/>
        <xdr:cNvSpPr/>
      </xdr:nvSpPr>
      <xdr:spPr bwMode="auto">
        <a:xfrm>
          <a:off x="7459756" y="5612466"/>
          <a:ext cx="704850" cy="180975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  <xdr:twoCellAnchor>
    <xdr:from>
      <xdr:col>2</xdr:col>
      <xdr:colOff>0</xdr:colOff>
      <xdr:row>30</xdr:row>
      <xdr:rowOff>0</xdr:rowOff>
    </xdr:from>
    <xdr:to>
      <xdr:col>2</xdr:col>
      <xdr:colOff>704850</xdr:colOff>
      <xdr:row>31</xdr:row>
      <xdr:rowOff>9525</xdr:rowOff>
    </xdr:to>
    <xdr:sp macro="[0]!Print_Contents" textlink="">
      <xdr:nvSpPr>
        <xdr:cNvPr id="73" name="Bevel 72">
          <a:hlinkClick xmlns:r="http://schemas.openxmlformats.org/officeDocument/2006/relationships" r:id="rId16"/>
        </xdr:cNvPr>
        <xdr:cNvSpPr/>
      </xdr:nvSpPr>
      <xdr:spPr bwMode="auto">
        <a:xfrm>
          <a:off x="6723529" y="5412441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30</xdr:row>
      <xdr:rowOff>0</xdr:rowOff>
    </xdr:from>
    <xdr:to>
      <xdr:col>2</xdr:col>
      <xdr:colOff>704850</xdr:colOff>
      <xdr:row>31</xdr:row>
      <xdr:rowOff>9525</xdr:rowOff>
    </xdr:to>
    <xdr:sp macro="[0]!Print_Contents" textlink="">
      <xdr:nvSpPr>
        <xdr:cNvPr id="75" name="Bevel 74">
          <a:hlinkClick xmlns:r="http://schemas.openxmlformats.org/officeDocument/2006/relationships" r:id="rId17"/>
        </xdr:cNvPr>
        <xdr:cNvSpPr/>
      </xdr:nvSpPr>
      <xdr:spPr bwMode="auto">
        <a:xfrm>
          <a:off x="6723529" y="5412441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31</xdr:row>
      <xdr:rowOff>0</xdr:rowOff>
    </xdr:from>
    <xdr:to>
      <xdr:col>2</xdr:col>
      <xdr:colOff>704850</xdr:colOff>
      <xdr:row>32</xdr:row>
      <xdr:rowOff>0</xdr:rowOff>
    </xdr:to>
    <xdr:sp macro="[0]!Print_Contents" textlink="">
      <xdr:nvSpPr>
        <xdr:cNvPr id="76" name="Bevel 75">
          <a:hlinkClick xmlns:r="http://schemas.openxmlformats.org/officeDocument/2006/relationships" r:id="rId17"/>
        </xdr:cNvPr>
        <xdr:cNvSpPr/>
      </xdr:nvSpPr>
      <xdr:spPr bwMode="auto">
        <a:xfrm>
          <a:off x="6723529" y="5602941"/>
          <a:ext cx="704850" cy="190500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31</xdr:row>
      <xdr:rowOff>0</xdr:rowOff>
    </xdr:from>
    <xdr:to>
      <xdr:col>2</xdr:col>
      <xdr:colOff>704850</xdr:colOff>
      <xdr:row>32</xdr:row>
      <xdr:rowOff>9525</xdr:rowOff>
    </xdr:to>
    <xdr:sp macro="[0]!Print_Contents" textlink="">
      <xdr:nvSpPr>
        <xdr:cNvPr id="77" name="Bevel 76">
          <a:hlinkClick xmlns:r="http://schemas.openxmlformats.org/officeDocument/2006/relationships" r:id="rId25"/>
        </xdr:cNvPr>
        <xdr:cNvSpPr/>
      </xdr:nvSpPr>
      <xdr:spPr bwMode="auto">
        <a:xfrm>
          <a:off x="6723529" y="5602941"/>
          <a:ext cx="704850" cy="200025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2</xdr:col>
      <xdr:colOff>0</xdr:colOff>
      <xdr:row>22</xdr:row>
      <xdr:rowOff>1</xdr:rowOff>
    </xdr:from>
    <xdr:to>
      <xdr:col>2</xdr:col>
      <xdr:colOff>704850</xdr:colOff>
      <xdr:row>23</xdr:row>
      <xdr:rowOff>11207</xdr:rowOff>
    </xdr:to>
    <xdr:sp macro="[0]!Print_Contents" textlink="">
      <xdr:nvSpPr>
        <xdr:cNvPr id="62" name="Bevel 61">
          <a:hlinkClick xmlns:r="http://schemas.openxmlformats.org/officeDocument/2006/relationships" r:id="rId26"/>
        </xdr:cNvPr>
        <xdr:cNvSpPr/>
      </xdr:nvSpPr>
      <xdr:spPr bwMode="auto">
        <a:xfrm>
          <a:off x="6723529" y="4067736"/>
          <a:ext cx="704850" cy="201706"/>
        </a:xfrm>
        <a:prstGeom prst="bevel">
          <a:avLst/>
        </a:prstGeom>
        <a:solidFill>
          <a:srgbClr val="92D05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Go to</a:t>
          </a:r>
          <a:r>
            <a:rPr lang="en-US" sz="1000" b="1" baseline="0"/>
            <a:t> page</a:t>
          </a:r>
          <a:endParaRPr lang="en-US" sz="1000" b="1"/>
        </a:p>
      </xdr:txBody>
    </xdr:sp>
    <xdr:clientData fPrintsWithSheet="0"/>
  </xdr:twoCellAnchor>
  <xdr:twoCellAnchor>
    <xdr:from>
      <xdr:col>3</xdr:col>
      <xdr:colOff>19050</xdr:colOff>
      <xdr:row>22</xdr:row>
      <xdr:rowOff>1</xdr:rowOff>
    </xdr:from>
    <xdr:to>
      <xdr:col>3</xdr:col>
      <xdr:colOff>723900</xdr:colOff>
      <xdr:row>23</xdr:row>
      <xdr:rowOff>22413</xdr:rowOff>
    </xdr:to>
    <xdr:sp macro="[0]!Print_Annuity_Benefit_Expense" textlink="">
      <xdr:nvSpPr>
        <xdr:cNvPr id="70" name="Bevel 69"/>
        <xdr:cNvSpPr/>
      </xdr:nvSpPr>
      <xdr:spPr bwMode="auto">
        <a:xfrm>
          <a:off x="7459756" y="4067736"/>
          <a:ext cx="704850" cy="212912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/>
            <a:t>Print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3</xdr:row>
      <xdr:rowOff>56030</xdr:rowOff>
    </xdr:from>
    <xdr:to>
      <xdr:col>0</xdr:col>
      <xdr:colOff>1042148</xdr:colOff>
      <xdr:row>5</xdr:row>
      <xdr:rowOff>112059</xdr:rowOff>
    </xdr:to>
    <xdr:sp macro="[0]!Go_to_Table_of_Contents" textlink="">
      <xdr:nvSpPr>
        <xdr:cNvPr id="3" name="Bevel 2"/>
        <xdr:cNvSpPr/>
      </xdr:nvSpPr>
      <xdr:spPr bwMode="auto">
        <a:xfrm>
          <a:off x="89647" y="705971"/>
          <a:ext cx="952501" cy="459441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112058</xdr:colOff>
      <xdr:row>4</xdr:row>
      <xdr:rowOff>78442</xdr:rowOff>
    </xdr:from>
    <xdr:to>
      <xdr:col>0</xdr:col>
      <xdr:colOff>1064559</xdr:colOff>
      <xdr:row>6</xdr:row>
      <xdr:rowOff>89647</xdr:rowOff>
    </xdr:to>
    <xdr:sp macro="[0]!Go_to_Table_of_Contents" textlink="">
      <xdr:nvSpPr>
        <xdr:cNvPr id="3" name="Bevel 2"/>
        <xdr:cNvSpPr/>
      </xdr:nvSpPr>
      <xdr:spPr bwMode="auto">
        <a:xfrm>
          <a:off x="112058" y="1008530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100852</xdr:colOff>
      <xdr:row>4</xdr:row>
      <xdr:rowOff>56030</xdr:rowOff>
    </xdr:from>
    <xdr:to>
      <xdr:col>0</xdr:col>
      <xdr:colOff>1053353</xdr:colOff>
      <xdr:row>6</xdr:row>
      <xdr:rowOff>67235</xdr:rowOff>
    </xdr:to>
    <xdr:sp macro="[0]!Go_to_Table_of_Contents" textlink="">
      <xdr:nvSpPr>
        <xdr:cNvPr id="3" name="Bevel 2"/>
        <xdr:cNvSpPr/>
      </xdr:nvSpPr>
      <xdr:spPr bwMode="auto">
        <a:xfrm>
          <a:off x="100852" y="930089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1210235</xdr:colOff>
      <xdr:row>3</xdr:row>
      <xdr:rowOff>67236</xdr:rowOff>
    </xdr:from>
    <xdr:to>
      <xdr:col>0</xdr:col>
      <xdr:colOff>2162736</xdr:colOff>
      <xdr:row>5</xdr:row>
      <xdr:rowOff>134471</xdr:rowOff>
    </xdr:to>
    <xdr:sp macro="[0]!Go_to_Table_of_Contents" textlink="">
      <xdr:nvSpPr>
        <xdr:cNvPr id="3" name="Bevel 2"/>
        <xdr:cNvSpPr/>
      </xdr:nvSpPr>
      <xdr:spPr bwMode="auto">
        <a:xfrm>
          <a:off x="1210235" y="739589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112058</xdr:colOff>
      <xdr:row>4</xdr:row>
      <xdr:rowOff>89647</xdr:rowOff>
    </xdr:from>
    <xdr:to>
      <xdr:col>0</xdr:col>
      <xdr:colOff>1064559</xdr:colOff>
      <xdr:row>6</xdr:row>
      <xdr:rowOff>89646</xdr:rowOff>
    </xdr:to>
    <xdr:sp macro="[0]!Go_to_Table_of_Contents" textlink="">
      <xdr:nvSpPr>
        <xdr:cNvPr id="3" name="Bevel 2"/>
        <xdr:cNvSpPr/>
      </xdr:nvSpPr>
      <xdr:spPr bwMode="auto">
        <a:xfrm>
          <a:off x="112058" y="952500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4</xdr:row>
      <xdr:rowOff>33617</xdr:rowOff>
    </xdr:from>
    <xdr:to>
      <xdr:col>0</xdr:col>
      <xdr:colOff>1053354</xdr:colOff>
      <xdr:row>5</xdr:row>
      <xdr:rowOff>190499</xdr:rowOff>
    </xdr:to>
    <xdr:sp macro="[0]!Go_to_Table_of_Contents" textlink="">
      <xdr:nvSpPr>
        <xdr:cNvPr id="3" name="Bevel 2"/>
        <xdr:cNvSpPr/>
      </xdr:nvSpPr>
      <xdr:spPr bwMode="auto">
        <a:xfrm>
          <a:off x="100853" y="896470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1714499</xdr:colOff>
      <xdr:row>3</xdr:row>
      <xdr:rowOff>56028</xdr:rowOff>
    </xdr:from>
    <xdr:to>
      <xdr:col>0</xdr:col>
      <xdr:colOff>2667000</xdr:colOff>
      <xdr:row>5</xdr:row>
      <xdr:rowOff>89645</xdr:rowOff>
    </xdr:to>
    <xdr:sp macro="[0]!Go_to_Table_of_Contents" textlink="">
      <xdr:nvSpPr>
        <xdr:cNvPr id="3" name="Bevel 2"/>
        <xdr:cNvSpPr/>
      </xdr:nvSpPr>
      <xdr:spPr bwMode="auto">
        <a:xfrm>
          <a:off x="1714499" y="728381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67234</xdr:colOff>
      <xdr:row>4</xdr:row>
      <xdr:rowOff>78441</xdr:rowOff>
    </xdr:from>
    <xdr:to>
      <xdr:col>0</xdr:col>
      <xdr:colOff>1019735</xdr:colOff>
      <xdr:row>6</xdr:row>
      <xdr:rowOff>78440</xdr:rowOff>
    </xdr:to>
    <xdr:sp macro="[0]!Go_to_Table_of_Contents" textlink="">
      <xdr:nvSpPr>
        <xdr:cNvPr id="3" name="Bevel 2"/>
        <xdr:cNvSpPr/>
      </xdr:nvSpPr>
      <xdr:spPr bwMode="auto">
        <a:xfrm>
          <a:off x="67234" y="941294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</xdr:colOff>
      <xdr:row>3</xdr:row>
      <xdr:rowOff>100853</xdr:rowOff>
    </xdr:from>
    <xdr:to>
      <xdr:col>0</xdr:col>
      <xdr:colOff>1042147</xdr:colOff>
      <xdr:row>5</xdr:row>
      <xdr:rowOff>123264</xdr:rowOff>
    </xdr:to>
    <xdr:sp macro="[0]!Go_to_Table_of_Contents" textlink="">
      <xdr:nvSpPr>
        <xdr:cNvPr id="6" name="Bevel 5"/>
        <xdr:cNvSpPr/>
      </xdr:nvSpPr>
      <xdr:spPr bwMode="auto">
        <a:xfrm>
          <a:off x="89646" y="739588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</xdr:colOff>
      <xdr:row>3</xdr:row>
      <xdr:rowOff>89647</xdr:rowOff>
    </xdr:from>
    <xdr:to>
      <xdr:col>0</xdr:col>
      <xdr:colOff>1479175</xdr:colOff>
      <xdr:row>5</xdr:row>
      <xdr:rowOff>100852</xdr:rowOff>
    </xdr:to>
    <xdr:sp macro="[0]!Go_to_Table_of_Contents" textlink="">
      <xdr:nvSpPr>
        <xdr:cNvPr id="3" name="Bevel 2"/>
        <xdr:cNvSpPr/>
      </xdr:nvSpPr>
      <xdr:spPr bwMode="auto">
        <a:xfrm>
          <a:off x="56029" y="762000"/>
          <a:ext cx="1423146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3</xdr:row>
      <xdr:rowOff>134471</xdr:rowOff>
    </xdr:from>
    <xdr:to>
      <xdr:col>0</xdr:col>
      <xdr:colOff>1445559</xdr:colOff>
      <xdr:row>5</xdr:row>
      <xdr:rowOff>145676</xdr:rowOff>
    </xdr:to>
    <xdr:sp macro="[0]!Go_to_Table_of_Contents" textlink="">
      <xdr:nvSpPr>
        <xdr:cNvPr id="6" name="Bevel 5"/>
        <xdr:cNvSpPr/>
      </xdr:nvSpPr>
      <xdr:spPr bwMode="auto">
        <a:xfrm>
          <a:off x="78441" y="806824"/>
          <a:ext cx="1367118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112058</xdr:colOff>
      <xdr:row>3</xdr:row>
      <xdr:rowOff>56029</xdr:rowOff>
    </xdr:from>
    <xdr:to>
      <xdr:col>0</xdr:col>
      <xdr:colOff>1064559</xdr:colOff>
      <xdr:row>5</xdr:row>
      <xdr:rowOff>67234</xdr:rowOff>
    </xdr:to>
    <xdr:sp macro="[0]!Go_to_Table_of_Contents" textlink="">
      <xdr:nvSpPr>
        <xdr:cNvPr id="3" name="Bevel 2"/>
        <xdr:cNvSpPr/>
      </xdr:nvSpPr>
      <xdr:spPr bwMode="auto">
        <a:xfrm>
          <a:off x="112058" y="728382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3</xdr:row>
      <xdr:rowOff>67236</xdr:rowOff>
    </xdr:from>
    <xdr:to>
      <xdr:col>0</xdr:col>
      <xdr:colOff>1030942</xdr:colOff>
      <xdr:row>5</xdr:row>
      <xdr:rowOff>78441</xdr:rowOff>
    </xdr:to>
    <xdr:sp macro="[0]!Go_to_Table_of_Contents" textlink="">
      <xdr:nvSpPr>
        <xdr:cNvPr id="3" name="Bevel 2"/>
        <xdr:cNvSpPr/>
      </xdr:nvSpPr>
      <xdr:spPr bwMode="auto">
        <a:xfrm>
          <a:off x="78441" y="739589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78442</xdr:colOff>
      <xdr:row>3</xdr:row>
      <xdr:rowOff>67236</xdr:rowOff>
    </xdr:from>
    <xdr:to>
      <xdr:col>0</xdr:col>
      <xdr:colOff>1030943</xdr:colOff>
      <xdr:row>5</xdr:row>
      <xdr:rowOff>78441</xdr:rowOff>
    </xdr:to>
    <xdr:sp macro="[0]!Go_to_Table_of_Contents" textlink="">
      <xdr:nvSpPr>
        <xdr:cNvPr id="3" name="Bevel 2"/>
        <xdr:cNvSpPr/>
      </xdr:nvSpPr>
      <xdr:spPr bwMode="auto">
        <a:xfrm>
          <a:off x="78442" y="739589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3</xdr:row>
      <xdr:rowOff>78441</xdr:rowOff>
    </xdr:from>
    <xdr:to>
      <xdr:col>0</xdr:col>
      <xdr:colOff>1064560</xdr:colOff>
      <xdr:row>5</xdr:row>
      <xdr:rowOff>67235</xdr:rowOff>
    </xdr:to>
    <xdr:sp macro="[0]!Go_to_Table_of_Contents" textlink="">
      <xdr:nvSpPr>
        <xdr:cNvPr id="3" name="Bevel 2"/>
        <xdr:cNvSpPr/>
      </xdr:nvSpPr>
      <xdr:spPr bwMode="auto">
        <a:xfrm>
          <a:off x="112059" y="750794"/>
          <a:ext cx="952501" cy="414617"/>
        </a:xfrm>
        <a:prstGeom prst="bevel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Go to Table of Contents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8"/>
  <sheetViews>
    <sheetView tabSelected="1" zoomScale="85" zoomScaleNormal="85" workbookViewId="0"/>
  </sheetViews>
  <sheetFormatPr defaultColWidth="5.21875" defaultRowHeight="12.75" x14ac:dyDescent="0.2"/>
  <cols>
    <col min="1" max="1" width="5.88671875" style="25" customWidth="1"/>
    <col min="2" max="5" width="4.88671875" style="25" customWidth="1"/>
    <col min="6" max="6" width="7.21875" style="25" customWidth="1"/>
    <col min="7" max="7" width="5.88671875" style="25" customWidth="1"/>
    <col min="8" max="8" width="36.6640625" style="26" bestFit="1" customWidth="1"/>
    <col min="9" max="10" width="4.88671875" style="26" customWidth="1"/>
    <col min="11" max="11" width="12.6640625" style="26" customWidth="1"/>
    <col min="12" max="12" width="7.6640625" style="26" customWidth="1"/>
    <col min="13" max="13" width="13.88671875" style="25" customWidth="1"/>
    <col min="14" max="14" width="4.77734375" style="25" customWidth="1"/>
    <col min="15" max="15" width="4.109375" style="25" customWidth="1"/>
    <col min="16" max="16" width="17" style="28" customWidth="1"/>
    <col min="17" max="19" width="9.88671875" style="25" customWidth="1"/>
    <col min="20" max="23" width="4.77734375" style="25" customWidth="1"/>
    <col min="24" max="24" width="0.6640625" style="25" customWidth="1"/>
    <col min="25" max="71" width="5.21875" style="25" customWidth="1"/>
    <col min="72" max="16384" width="5.21875" style="25"/>
  </cols>
  <sheetData>
    <row r="1" spans="1:19" ht="24.95" customHeight="1" x14ac:dyDescent="0.2">
      <c r="A1" s="24"/>
      <c r="L1" s="27"/>
    </row>
    <row r="2" spans="1:19" ht="24.95" customHeight="1" x14ac:dyDescent="0.35">
      <c r="L2" s="29"/>
      <c r="Q2" s="30"/>
      <c r="R2" s="30"/>
      <c r="S2" s="30"/>
    </row>
    <row r="3" spans="1:19" s="31" customFormat="1" ht="24.95" customHeight="1" x14ac:dyDescent="0.2">
      <c r="H3" s="32"/>
      <c r="I3" s="33"/>
      <c r="J3" s="33"/>
      <c r="K3" s="32"/>
      <c r="L3" s="32"/>
      <c r="P3" s="28"/>
      <c r="Q3" s="28"/>
    </row>
    <row r="4" spans="1:19" s="31" customFormat="1" ht="24.95" customHeight="1" x14ac:dyDescent="0.25">
      <c r="H4" s="32"/>
      <c r="I4" s="33"/>
      <c r="J4" s="33"/>
      <c r="K4" s="32"/>
      <c r="L4" s="32"/>
      <c r="R4" s="34"/>
      <c r="S4" s="34"/>
    </row>
    <row r="5" spans="1:19" s="28" customFormat="1" ht="24.95" customHeight="1" x14ac:dyDescent="0.2">
      <c r="H5" s="35"/>
      <c r="I5" s="35"/>
      <c r="J5" s="35"/>
      <c r="K5" s="35"/>
      <c r="L5" s="35"/>
      <c r="R5" s="36"/>
      <c r="S5" s="36"/>
    </row>
    <row r="6" spans="1:19" s="28" customFormat="1" ht="24.95" customHeight="1" x14ac:dyDescent="0.2">
      <c r="H6" s="35"/>
      <c r="I6" s="35"/>
      <c r="J6" s="35"/>
      <c r="K6" s="35"/>
      <c r="L6" s="35"/>
      <c r="R6" s="36"/>
      <c r="S6" s="36"/>
    </row>
    <row r="7" spans="1:19" s="28" customFormat="1" ht="24.95" customHeight="1" x14ac:dyDescent="0.2">
      <c r="H7" s="35"/>
      <c r="I7" s="35"/>
      <c r="J7" s="35"/>
      <c r="K7" s="35"/>
      <c r="L7" s="35"/>
      <c r="R7" s="36"/>
      <c r="S7" s="36"/>
    </row>
    <row r="8" spans="1:19" s="28" customFormat="1" ht="24.95" customHeight="1" x14ac:dyDescent="0.2">
      <c r="H8" s="37"/>
      <c r="I8" s="35"/>
      <c r="J8" s="35"/>
      <c r="K8" s="35"/>
      <c r="L8" s="35"/>
    </row>
    <row r="9" spans="1:19" s="28" customFormat="1" ht="24.95" customHeight="1" x14ac:dyDescent="0.2">
      <c r="H9" s="468"/>
      <c r="I9" s="35"/>
      <c r="J9" s="35"/>
      <c r="K9" s="35"/>
      <c r="L9" s="35"/>
    </row>
    <row r="10" spans="1:19" s="28" customFormat="1" ht="24.95" customHeight="1" x14ac:dyDescent="0.2">
      <c r="H10" s="38" t="s">
        <v>49</v>
      </c>
      <c r="I10" s="35"/>
      <c r="J10" s="35"/>
      <c r="K10" s="35"/>
      <c r="L10" s="35"/>
    </row>
    <row r="11" spans="1:19" s="28" customFormat="1" ht="24.95" customHeight="1" x14ac:dyDescent="0.2">
      <c r="H11" s="347" t="s">
        <v>397</v>
      </c>
      <c r="I11" s="35"/>
      <c r="J11" s="35"/>
      <c r="K11" s="35"/>
      <c r="L11" s="35"/>
    </row>
    <row r="12" spans="1:19" ht="24.95" customHeight="1" x14ac:dyDescent="0.2">
      <c r="H12" s="39"/>
    </row>
    <row r="13" spans="1:19" ht="18.75" x14ac:dyDescent="0.2">
      <c r="H13" s="40"/>
    </row>
    <row r="14" spans="1:19" ht="18.75" x14ac:dyDescent="0.3">
      <c r="H14" s="41">
        <v>42311</v>
      </c>
    </row>
    <row r="18" spans="3:9" ht="15.75" x14ac:dyDescent="0.25">
      <c r="H18" s="435" t="s">
        <v>49</v>
      </c>
    </row>
    <row r="19" spans="3:9" ht="15.75" x14ac:dyDescent="0.25">
      <c r="H19" s="436" t="s">
        <v>50</v>
      </c>
      <c r="I19" s="43"/>
    </row>
    <row r="20" spans="3:9" ht="15.75" x14ac:dyDescent="0.25">
      <c r="H20" s="435" t="s">
        <v>51</v>
      </c>
    </row>
    <row r="21" spans="3:9" ht="15.75" x14ac:dyDescent="0.25">
      <c r="H21" s="435" t="s">
        <v>52</v>
      </c>
    </row>
    <row r="22" spans="3:9" ht="15.75" x14ac:dyDescent="0.25">
      <c r="H22" s="435" t="s">
        <v>53</v>
      </c>
    </row>
    <row r="23" spans="3:9" ht="15.75" x14ac:dyDescent="0.25">
      <c r="H23" s="435" t="s">
        <v>230</v>
      </c>
    </row>
    <row r="24" spans="3:9" x14ac:dyDescent="0.2">
      <c r="H24" s="42"/>
    </row>
    <row r="25" spans="3:9" x14ac:dyDescent="0.2">
      <c r="H25" s="42"/>
    </row>
    <row r="27" spans="3:9" ht="14.25" x14ac:dyDescent="0.2">
      <c r="C27" s="438"/>
    </row>
    <row r="28" spans="3:9" ht="15.75" x14ac:dyDescent="0.25">
      <c r="C28" s="439"/>
    </row>
    <row r="29" spans="3:9" ht="15.75" x14ac:dyDescent="0.25">
      <c r="C29" s="439"/>
    </row>
    <row r="30" spans="3:9" ht="15.75" x14ac:dyDescent="0.25">
      <c r="C30" s="439"/>
    </row>
    <row r="34" spans="8:8" ht="15" x14ac:dyDescent="0.2">
      <c r="H34" s="440"/>
    </row>
    <row r="35" spans="8:8" ht="14.25" x14ac:dyDescent="0.2">
      <c r="H35" s="441"/>
    </row>
    <row r="36" spans="8:8" ht="14.25" x14ac:dyDescent="0.2">
      <c r="H36" s="441"/>
    </row>
    <row r="37" spans="8:8" ht="14.25" x14ac:dyDescent="0.2">
      <c r="H37" s="441"/>
    </row>
    <row r="38" spans="8:8" ht="14.25" x14ac:dyDescent="0.2">
      <c r="H38" s="441"/>
    </row>
  </sheetData>
  <sheetProtection password="CBFD" sheet="1" objects="1" scenarios="1"/>
  <pageMargins left="0.7" right="0.7" top="0.75" bottom="0.75" header="0.3" footer="0.3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6"/>
  <dimension ref="A1:V37"/>
  <sheetViews>
    <sheetView zoomScale="85" zoomScaleNormal="85" workbookViewId="0"/>
  </sheetViews>
  <sheetFormatPr defaultColWidth="9.77734375" defaultRowHeight="15.75" customHeight="1" x14ac:dyDescent="0.2"/>
  <cols>
    <col min="1" max="1" width="55.77734375" style="179" customWidth="1"/>
    <col min="2" max="2" width="10.77734375" style="18" hidden="1" customWidth="1"/>
    <col min="3" max="7" width="10.77734375" style="18" customWidth="1"/>
    <col min="8" max="9" width="10.77734375" style="18" hidden="1" customWidth="1"/>
    <col min="10" max="10" width="1.77734375" style="18" customWidth="1"/>
    <col min="11" max="12" width="10.77734375" style="18" hidden="1" customWidth="1"/>
    <col min="13" max="13" width="1.77734375" style="18" hidden="1" customWidth="1"/>
    <col min="14" max="15" width="10.77734375" style="18" customWidth="1"/>
    <col min="16" max="16" width="1.77734375" style="18" hidden="1" customWidth="1"/>
    <col min="17" max="19" width="10.77734375" style="18" hidden="1" customWidth="1"/>
    <col min="20" max="16384" width="9.77734375" style="19"/>
  </cols>
  <sheetData>
    <row r="1" spans="1:22" s="172" customFormat="1" ht="18" x14ac:dyDescent="0.25">
      <c r="A1" s="131" t="str">
        <f>'Cover Page'!$H$10</f>
        <v>American Financial Group, Inc.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22" s="172" customFormat="1" ht="18" x14ac:dyDescent="0.25">
      <c r="A2" s="173" t="s">
        <v>57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22" s="172" customFormat="1" ht="18" x14ac:dyDescent="0.25">
      <c r="A3" s="16" t="s">
        <v>14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22" s="172" customFormat="1" ht="18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22" s="179" customFormat="1" x14ac:dyDescent="0.25">
      <c r="A5" s="20"/>
      <c r="B5" s="145" t="s">
        <v>2</v>
      </c>
      <c r="C5" s="145" t="s">
        <v>2</v>
      </c>
      <c r="D5" s="145"/>
      <c r="E5" s="145"/>
      <c r="F5" s="146"/>
      <c r="G5" s="146"/>
      <c r="H5" s="146"/>
      <c r="I5" s="146"/>
      <c r="J5" s="17"/>
      <c r="K5" s="145" t="s">
        <v>6</v>
      </c>
      <c r="L5" s="146"/>
      <c r="M5" s="180"/>
      <c r="N5" s="145" t="s">
        <v>7</v>
      </c>
      <c r="O5" s="146"/>
      <c r="Q5" s="145" t="s">
        <v>3</v>
      </c>
      <c r="R5" s="145" t="s">
        <v>3</v>
      </c>
      <c r="S5" s="146"/>
    </row>
    <row r="6" spans="1:22" s="143" customFormat="1" ht="20.25" x14ac:dyDescent="0.55000000000000004">
      <c r="A6" s="150"/>
      <c r="B6" s="69" t="s">
        <v>384</v>
      </c>
      <c r="C6" s="69" t="s">
        <v>385</v>
      </c>
      <c r="D6" s="69" t="s">
        <v>386</v>
      </c>
      <c r="E6" s="69" t="s">
        <v>387</v>
      </c>
      <c r="F6" s="69" t="s">
        <v>322</v>
      </c>
      <c r="G6" s="69" t="s">
        <v>323</v>
      </c>
      <c r="H6" s="69" t="s">
        <v>324</v>
      </c>
      <c r="I6" s="69" t="s">
        <v>325</v>
      </c>
      <c r="J6" s="84"/>
      <c r="K6" s="84" t="s">
        <v>386</v>
      </c>
      <c r="L6" s="84" t="s">
        <v>324</v>
      </c>
      <c r="M6" s="84"/>
      <c r="N6" s="84" t="s">
        <v>385</v>
      </c>
      <c r="O6" s="84" t="s">
        <v>323</v>
      </c>
      <c r="P6" s="84"/>
      <c r="Q6" s="84" t="s">
        <v>384</v>
      </c>
      <c r="R6" s="84" t="s">
        <v>322</v>
      </c>
      <c r="S6" s="84" t="s">
        <v>117</v>
      </c>
      <c r="T6" s="142"/>
      <c r="U6" s="142"/>
      <c r="V6" s="96"/>
    </row>
    <row r="7" spans="1:22" x14ac:dyDescent="0.25">
      <c r="A7" s="15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21"/>
      <c r="N7" s="87"/>
      <c r="O7" s="87"/>
      <c r="P7" s="21"/>
      <c r="Q7" s="87"/>
      <c r="R7" s="87"/>
      <c r="S7" s="87"/>
    </row>
    <row r="8" spans="1:22" ht="15" x14ac:dyDescent="0.2">
      <c r="A8" s="16" t="s">
        <v>215</v>
      </c>
      <c r="B8" s="22">
        <f>Q8-N8</f>
        <v>-458</v>
      </c>
      <c r="C8" s="22">
        <f>N8-K8</f>
        <v>164</v>
      </c>
      <c r="D8" s="22">
        <f>K8-E8</f>
        <v>157</v>
      </c>
      <c r="E8" s="22">
        <v>137</v>
      </c>
      <c r="F8" s="22">
        <f>R8-O8</f>
        <v>160</v>
      </c>
      <c r="G8" s="22">
        <f>O8-L8</f>
        <v>157</v>
      </c>
      <c r="H8" s="22">
        <f>L8-I8</f>
        <v>147</v>
      </c>
      <c r="I8" s="22">
        <v>141</v>
      </c>
      <c r="J8" s="22"/>
      <c r="K8" s="22">
        <v>294</v>
      </c>
      <c r="L8" s="22">
        <v>288</v>
      </c>
      <c r="M8" s="23"/>
      <c r="N8" s="22">
        <v>458</v>
      </c>
      <c r="O8" s="22">
        <v>445</v>
      </c>
      <c r="P8" s="23"/>
      <c r="Q8" s="22">
        <v>0</v>
      </c>
      <c r="R8" s="22">
        <v>605</v>
      </c>
      <c r="S8" s="22">
        <v>622</v>
      </c>
    </row>
    <row r="9" spans="1:22" ht="17.25" x14ac:dyDescent="0.35">
      <c r="A9" s="16" t="s">
        <v>216</v>
      </c>
      <c r="B9" s="85">
        <f t="shared" ref="B9:H9" si="0">B10-B8</f>
        <v>70</v>
      </c>
      <c r="C9" s="85">
        <f t="shared" si="0"/>
        <v>-27</v>
      </c>
      <c r="D9" s="85">
        <f t="shared" si="0"/>
        <v>-21</v>
      </c>
      <c r="E9" s="85">
        <f t="shared" si="0"/>
        <v>-22</v>
      </c>
      <c r="F9" s="85">
        <f t="shared" si="0"/>
        <v>-29</v>
      </c>
      <c r="G9" s="85">
        <f t="shared" si="0"/>
        <v>-36</v>
      </c>
      <c r="H9" s="85">
        <f t="shared" si="0"/>
        <v>-27</v>
      </c>
      <c r="I9" s="85">
        <f t="shared" ref="I9" si="1">I10-I8</f>
        <v>-25</v>
      </c>
      <c r="J9" s="17"/>
      <c r="K9" s="85">
        <f t="shared" ref="K9" si="2">K10-K8</f>
        <v>-43</v>
      </c>
      <c r="L9" s="85">
        <f t="shared" ref="L9" si="3">L10-L8</f>
        <v>-52</v>
      </c>
      <c r="M9" s="86"/>
      <c r="N9" s="85">
        <f t="shared" ref="N9" si="4">N10-N8</f>
        <v>-70</v>
      </c>
      <c r="O9" s="85">
        <f t="shared" ref="O9" si="5">O10-O8</f>
        <v>-88</v>
      </c>
      <c r="P9" s="86"/>
      <c r="Q9" s="85">
        <f t="shared" ref="Q9" si="6">Q10-Q8</f>
        <v>0</v>
      </c>
      <c r="R9" s="85">
        <f t="shared" ref="R9:S9" si="7">R10-R8</f>
        <v>-117</v>
      </c>
      <c r="S9" s="85">
        <f t="shared" si="7"/>
        <v>-136</v>
      </c>
    </row>
    <row r="10" spans="1:22" ht="15" x14ac:dyDescent="0.2">
      <c r="A10" s="16" t="s">
        <v>217</v>
      </c>
      <c r="B10" s="17">
        <f>Q10-N10</f>
        <v>-388</v>
      </c>
      <c r="C10" s="17">
        <f>N10-K10</f>
        <v>137</v>
      </c>
      <c r="D10" s="17">
        <f>K10-E10</f>
        <v>136</v>
      </c>
      <c r="E10" s="17">
        <v>115</v>
      </c>
      <c r="F10" s="17">
        <f>R10-O10</f>
        <v>131</v>
      </c>
      <c r="G10" s="17">
        <f>O10-L10</f>
        <v>121</v>
      </c>
      <c r="H10" s="17">
        <f>L10-I10</f>
        <v>120</v>
      </c>
      <c r="I10" s="17">
        <v>116</v>
      </c>
      <c r="J10" s="17"/>
      <c r="K10" s="17">
        <v>251</v>
      </c>
      <c r="L10" s="17">
        <v>236</v>
      </c>
      <c r="N10" s="17">
        <v>388</v>
      </c>
      <c r="O10" s="17">
        <v>357</v>
      </c>
      <c r="Q10" s="17">
        <v>0</v>
      </c>
      <c r="R10" s="17">
        <v>488</v>
      </c>
      <c r="S10" s="17">
        <v>486</v>
      </c>
    </row>
    <row r="11" spans="1:22" ht="17.25" x14ac:dyDescent="0.35">
      <c r="A11" s="16" t="s">
        <v>48</v>
      </c>
      <c r="B11" s="85">
        <f t="shared" ref="B11:H11" si="8">B12-B10</f>
        <v>8</v>
      </c>
      <c r="C11" s="85">
        <f t="shared" si="8"/>
        <v>-6</v>
      </c>
      <c r="D11" s="85">
        <f t="shared" si="8"/>
        <v>-7</v>
      </c>
      <c r="E11" s="85">
        <f t="shared" si="8"/>
        <v>5</v>
      </c>
      <c r="F11" s="85">
        <f t="shared" si="8"/>
        <v>-10</v>
      </c>
      <c r="G11" s="85">
        <f t="shared" si="8"/>
        <v>-6</v>
      </c>
      <c r="H11" s="85">
        <f t="shared" si="8"/>
        <v>-4</v>
      </c>
      <c r="I11" s="85">
        <f t="shared" ref="I11" si="9">I12-I10</f>
        <v>1</v>
      </c>
      <c r="J11" s="17"/>
      <c r="K11" s="85">
        <f t="shared" ref="K11" si="10">K12-K10</f>
        <v>-2</v>
      </c>
      <c r="L11" s="85">
        <f t="shared" ref="L11" si="11">L12-L10</f>
        <v>-3</v>
      </c>
      <c r="N11" s="85">
        <f t="shared" ref="N11" si="12">N12-N10</f>
        <v>-8</v>
      </c>
      <c r="O11" s="85">
        <f t="shared" ref="O11" si="13">O12-O10</f>
        <v>-9</v>
      </c>
      <c r="Q11" s="85">
        <f t="shared" ref="Q11" si="14">Q12-Q10</f>
        <v>0</v>
      </c>
      <c r="R11" s="85">
        <f t="shared" ref="R11:S11" si="15">R12-R10</f>
        <v>-19</v>
      </c>
      <c r="S11" s="85">
        <f t="shared" si="15"/>
        <v>-17</v>
      </c>
    </row>
    <row r="12" spans="1:22" x14ac:dyDescent="0.25">
      <c r="A12" s="20" t="s">
        <v>218</v>
      </c>
      <c r="B12" s="17">
        <f>Q12-N12</f>
        <v>-380</v>
      </c>
      <c r="C12" s="17">
        <f>N12-K12</f>
        <v>131</v>
      </c>
      <c r="D12" s="17">
        <f>K12-E12</f>
        <v>129</v>
      </c>
      <c r="E12" s="17">
        <v>120</v>
      </c>
      <c r="F12" s="17">
        <f>R12-O12</f>
        <v>121</v>
      </c>
      <c r="G12" s="17">
        <f>O12-L12</f>
        <v>115</v>
      </c>
      <c r="H12" s="17">
        <f>L12-I12</f>
        <v>116</v>
      </c>
      <c r="I12" s="17">
        <v>117</v>
      </c>
      <c r="J12" s="17"/>
      <c r="K12" s="17">
        <v>249</v>
      </c>
      <c r="L12" s="17">
        <v>233</v>
      </c>
      <c r="M12" s="21"/>
      <c r="N12" s="17">
        <v>380</v>
      </c>
      <c r="O12" s="17">
        <v>348</v>
      </c>
      <c r="P12" s="21"/>
      <c r="Q12" s="17">
        <v>0</v>
      </c>
      <c r="R12" s="17">
        <v>469</v>
      </c>
      <c r="S12" s="17">
        <v>469</v>
      </c>
    </row>
    <row r="13" spans="1:22" x14ac:dyDescent="0.25">
      <c r="A13" s="20"/>
      <c r="B13" s="87"/>
      <c r="C13" s="87"/>
      <c r="D13" s="87"/>
      <c r="E13" s="87"/>
      <c r="F13" s="87"/>
      <c r="G13" s="87"/>
      <c r="H13" s="87"/>
      <c r="I13" s="87"/>
      <c r="J13" s="17"/>
      <c r="K13" s="87"/>
      <c r="L13" s="87"/>
      <c r="N13" s="87"/>
      <c r="O13" s="87"/>
      <c r="Q13" s="87"/>
      <c r="R13" s="87"/>
      <c r="S13" s="87"/>
    </row>
    <row r="14" spans="1:22" ht="15" x14ac:dyDescent="0.2">
      <c r="A14" s="20" t="s">
        <v>154</v>
      </c>
      <c r="B14" s="18">
        <f>Q14-N14</f>
        <v>-108</v>
      </c>
      <c r="C14" s="18">
        <f>N14-K14</f>
        <v>36</v>
      </c>
      <c r="D14" s="18">
        <f>K14-E14</f>
        <v>36</v>
      </c>
      <c r="E14" s="18">
        <v>36</v>
      </c>
      <c r="F14" s="18">
        <f>R14-O14</f>
        <v>42</v>
      </c>
      <c r="G14" s="18">
        <f>O14-L14</f>
        <v>32</v>
      </c>
      <c r="H14" s="18">
        <f>L14-I14</f>
        <v>40</v>
      </c>
      <c r="I14" s="18">
        <v>45</v>
      </c>
      <c r="J14" s="17"/>
      <c r="K14" s="18">
        <v>72</v>
      </c>
      <c r="L14" s="18">
        <v>85</v>
      </c>
      <c r="N14" s="18">
        <v>108</v>
      </c>
      <c r="O14" s="18">
        <v>117</v>
      </c>
      <c r="Q14" s="18">
        <v>0</v>
      </c>
      <c r="R14" s="18">
        <v>159</v>
      </c>
      <c r="S14" s="18">
        <v>158</v>
      </c>
    </row>
    <row r="15" spans="1:22" ht="17.25" x14ac:dyDescent="0.35">
      <c r="A15" s="20" t="s">
        <v>299</v>
      </c>
      <c r="B15" s="88">
        <f>Q15-N15</f>
        <v>-200</v>
      </c>
      <c r="C15" s="88">
        <f>N15-K15</f>
        <v>69</v>
      </c>
      <c r="D15" s="88">
        <f>K15-E15</f>
        <v>69</v>
      </c>
      <c r="E15" s="88">
        <v>62</v>
      </c>
      <c r="F15" s="88">
        <f>R15-O15</f>
        <v>61</v>
      </c>
      <c r="G15" s="88">
        <f>O15-L15</f>
        <v>62</v>
      </c>
      <c r="H15" s="88">
        <f>L15-I15</f>
        <v>61</v>
      </c>
      <c r="I15" s="88">
        <v>62</v>
      </c>
      <c r="J15" s="85"/>
      <c r="K15" s="88">
        <v>131</v>
      </c>
      <c r="L15" s="88">
        <v>123</v>
      </c>
      <c r="M15" s="88"/>
      <c r="N15" s="88">
        <v>200</v>
      </c>
      <c r="O15" s="88">
        <v>185</v>
      </c>
      <c r="P15" s="88"/>
      <c r="Q15" s="88">
        <v>0</v>
      </c>
      <c r="R15" s="88">
        <v>246</v>
      </c>
      <c r="S15" s="88">
        <v>244</v>
      </c>
    </row>
    <row r="16" spans="1:22" s="182" customFormat="1" ht="18" x14ac:dyDescent="0.4">
      <c r="A16" s="181" t="s">
        <v>77</v>
      </c>
      <c r="B16" s="89">
        <f t="shared" ref="B16:H16" si="16">B12-SUM(B14:B15)</f>
        <v>-72</v>
      </c>
      <c r="C16" s="89">
        <f t="shared" si="16"/>
        <v>26</v>
      </c>
      <c r="D16" s="89">
        <f t="shared" si="16"/>
        <v>24</v>
      </c>
      <c r="E16" s="89">
        <f t="shared" si="16"/>
        <v>22</v>
      </c>
      <c r="F16" s="89">
        <f t="shared" si="16"/>
        <v>18</v>
      </c>
      <c r="G16" s="89">
        <f t="shared" si="16"/>
        <v>21</v>
      </c>
      <c r="H16" s="89">
        <f t="shared" si="16"/>
        <v>15</v>
      </c>
      <c r="I16" s="89">
        <f t="shared" ref="I16" si="17">I12-SUM(I14:I15)</f>
        <v>10</v>
      </c>
      <c r="J16" s="90"/>
      <c r="K16" s="89">
        <f t="shared" ref="K16" si="18">K12-SUM(K14:K15)</f>
        <v>46</v>
      </c>
      <c r="L16" s="89">
        <f t="shared" ref="L16" si="19">L12-SUM(L14:L15)</f>
        <v>25</v>
      </c>
      <c r="M16" s="91"/>
      <c r="N16" s="89">
        <f t="shared" ref="N16" si="20">N12-SUM(N14:N15)</f>
        <v>72</v>
      </c>
      <c r="O16" s="89">
        <f t="shared" ref="O16" si="21">O12-SUM(O14:O15)</f>
        <v>46</v>
      </c>
      <c r="P16" s="91"/>
      <c r="Q16" s="89">
        <f t="shared" ref="Q16" si="22">Q12-SUM(Q14:Q15)</f>
        <v>0</v>
      </c>
      <c r="R16" s="89">
        <f t="shared" ref="R16:S16" si="23">R12-SUM(R14:R15)</f>
        <v>64</v>
      </c>
      <c r="S16" s="89">
        <f t="shared" si="23"/>
        <v>67</v>
      </c>
    </row>
    <row r="17" spans="1:20" x14ac:dyDescent="0.25">
      <c r="A17" s="20"/>
      <c r="B17" s="21"/>
      <c r="C17" s="21"/>
      <c r="D17" s="21"/>
      <c r="E17" s="21"/>
      <c r="F17" s="21"/>
      <c r="G17" s="21"/>
      <c r="H17" s="21"/>
      <c r="I17" s="21"/>
      <c r="J17" s="17"/>
      <c r="K17" s="21"/>
      <c r="L17" s="21"/>
      <c r="M17" s="21"/>
      <c r="N17" s="21"/>
      <c r="O17" s="21"/>
      <c r="P17" s="21"/>
      <c r="Q17" s="21"/>
      <c r="R17" s="21"/>
      <c r="S17" s="21"/>
    </row>
    <row r="18" spans="1:20" x14ac:dyDescent="0.25">
      <c r="A18" s="20" t="s">
        <v>219</v>
      </c>
      <c r="B18" s="21"/>
      <c r="C18" s="21"/>
      <c r="D18" s="21"/>
      <c r="E18" s="21"/>
      <c r="F18" s="21"/>
      <c r="G18" s="21"/>
      <c r="H18" s="21"/>
      <c r="I18" s="21"/>
      <c r="J18" s="17"/>
      <c r="K18" s="21"/>
      <c r="L18" s="21"/>
      <c r="M18" s="21"/>
      <c r="N18" s="21"/>
      <c r="O18" s="21"/>
      <c r="P18" s="21"/>
      <c r="Q18" s="21"/>
      <c r="R18" s="21"/>
      <c r="S18" s="21"/>
    </row>
    <row r="19" spans="1:20" x14ac:dyDescent="0.25">
      <c r="A19" s="415" t="s">
        <v>210</v>
      </c>
      <c r="B19" s="21"/>
      <c r="C19" s="21"/>
      <c r="D19" s="21"/>
      <c r="E19" s="21"/>
      <c r="F19" s="21"/>
      <c r="G19" s="21"/>
      <c r="H19" s="21"/>
      <c r="I19" s="21"/>
      <c r="J19" s="17"/>
      <c r="K19" s="21"/>
      <c r="L19" s="21"/>
      <c r="M19" s="21"/>
      <c r="N19" s="21"/>
      <c r="O19" s="21"/>
      <c r="P19" s="21"/>
      <c r="Q19" s="21"/>
      <c r="R19" s="21"/>
      <c r="S19" s="21"/>
    </row>
    <row r="20" spans="1:20" ht="15" x14ac:dyDescent="0.2">
      <c r="A20" s="458" t="s">
        <v>211</v>
      </c>
      <c r="B20" s="46">
        <f>Q20-N20</f>
        <v>0</v>
      </c>
      <c r="C20" s="46">
        <f>N20-K20</f>
        <v>0</v>
      </c>
      <c r="D20" s="46">
        <f>K20-E20</f>
        <v>0</v>
      </c>
      <c r="E20" s="46">
        <v>0</v>
      </c>
      <c r="F20" s="46">
        <f>R20-O20</f>
        <v>0</v>
      </c>
      <c r="G20" s="46">
        <f>O20-L20</f>
        <v>0</v>
      </c>
      <c r="H20" s="46">
        <f>L20-I20</f>
        <v>0</v>
      </c>
      <c r="I20" s="46">
        <v>0</v>
      </c>
      <c r="J20" s="22"/>
      <c r="K20" s="46">
        <v>0</v>
      </c>
      <c r="L20" s="46">
        <v>0</v>
      </c>
      <c r="M20" s="46"/>
      <c r="N20" s="46">
        <v>0</v>
      </c>
      <c r="O20" s="46">
        <v>0</v>
      </c>
      <c r="P20" s="46"/>
      <c r="Q20" s="46">
        <v>0</v>
      </c>
      <c r="R20" s="46">
        <v>0</v>
      </c>
      <c r="S20" s="46">
        <v>0</v>
      </c>
    </row>
    <row r="21" spans="1:20" ht="17.25" x14ac:dyDescent="0.35">
      <c r="A21" s="458" t="s">
        <v>212</v>
      </c>
      <c r="B21" s="88">
        <f>B22-B20</f>
        <v>-4</v>
      </c>
      <c r="C21" s="88">
        <f t="shared" ref="C21:H21" si="24">C22-C20</f>
        <v>1</v>
      </c>
      <c r="D21" s="88">
        <f t="shared" si="24"/>
        <v>2</v>
      </c>
      <c r="E21" s="88">
        <f t="shared" si="24"/>
        <v>1</v>
      </c>
      <c r="F21" s="88">
        <f t="shared" si="24"/>
        <v>0</v>
      </c>
      <c r="G21" s="88">
        <f t="shared" si="24"/>
        <v>0</v>
      </c>
      <c r="H21" s="88">
        <f t="shared" si="24"/>
        <v>1</v>
      </c>
      <c r="I21" s="88">
        <f t="shared" ref="I21" si="25">I22-I20</f>
        <v>2</v>
      </c>
      <c r="J21" s="85"/>
      <c r="K21" s="88">
        <f t="shared" ref="K21" si="26">K22-K20</f>
        <v>3</v>
      </c>
      <c r="L21" s="88">
        <f t="shared" ref="L21" si="27">L22-L20</f>
        <v>3</v>
      </c>
      <c r="M21" s="88"/>
      <c r="N21" s="88">
        <f t="shared" ref="N21" si="28">N22-N20</f>
        <v>4</v>
      </c>
      <c r="O21" s="88">
        <f t="shared" ref="O21" si="29">O22-O20</f>
        <v>3</v>
      </c>
      <c r="P21" s="88"/>
      <c r="Q21" s="88">
        <f t="shared" ref="Q21" si="30">Q22-Q20</f>
        <v>0</v>
      </c>
      <c r="R21" s="88">
        <f t="shared" ref="R21:S21" si="31">R22-R20</f>
        <v>3</v>
      </c>
      <c r="S21" s="88">
        <f t="shared" si="31"/>
        <v>3</v>
      </c>
    </row>
    <row r="22" spans="1:20" ht="17.25" x14ac:dyDescent="0.35">
      <c r="A22" s="457" t="s">
        <v>139</v>
      </c>
      <c r="B22" s="382">
        <f>Q22-N22</f>
        <v>-4</v>
      </c>
      <c r="C22" s="382">
        <f>N22-K22</f>
        <v>1</v>
      </c>
      <c r="D22" s="382">
        <f>K22-E22</f>
        <v>2</v>
      </c>
      <c r="E22" s="382">
        <v>1</v>
      </c>
      <c r="F22" s="382">
        <f>R22-O22</f>
        <v>0</v>
      </c>
      <c r="G22" s="382">
        <f>O22-L22</f>
        <v>0</v>
      </c>
      <c r="H22" s="382">
        <f>L22-I22</f>
        <v>1</v>
      </c>
      <c r="I22" s="382">
        <v>2</v>
      </c>
      <c r="J22" s="383"/>
      <c r="K22" s="382">
        <v>3</v>
      </c>
      <c r="L22" s="382">
        <v>3</v>
      </c>
      <c r="M22" s="382"/>
      <c r="N22" s="382">
        <v>4</v>
      </c>
      <c r="O22" s="382">
        <v>3</v>
      </c>
      <c r="P22" s="382"/>
      <c r="Q22" s="382">
        <v>0</v>
      </c>
      <c r="R22" s="382">
        <v>3</v>
      </c>
      <c r="S22" s="382">
        <v>3</v>
      </c>
    </row>
    <row r="23" spans="1:20" ht="15" x14ac:dyDescent="0.2">
      <c r="A23" s="20"/>
      <c r="B23" s="46"/>
      <c r="C23" s="46"/>
      <c r="D23" s="46"/>
      <c r="E23" s="46"/>
      <c r="F23" s="46"/>
      <c r="G23" s="46"/>
      <c r="H23" s="46"/>
      <c r="I23" s="46"/>
      <c r="J23" s="22"/>
      <c r="K23" s="46"/>
      <c r="L23" s="46"/>
      <c r="M23" s="46"/>
      <c r="N23" s="46"/>
      <c r="O23" s="46"/>
      <c r="P23" s="46"/>
      <c r="Q23" s="46"/>
      <c r="R23" s="46"/>
      <c r="S23" s="46"/>
    </row>
    <row r="24" spans="1:20" s="179" customFormat="1" ht="17.25" x14ac:dyDescent="0.35">
      <c r="A24" s="415" t="s">
        <v>376</v>
      </c>
      <c r="B24" s="382">
        <f>Q24-N24</f>
        <v>25</v>
      </c>
      <c r="C24" s="382">
        <f>N24-K24</f>
        <v>-8</v>
      </c>
      <c r="D24" s="382">
        <f>K24-E24</f>
        <v>-8</v>
      </c>
      <c r="E24" s="382">
        <v>-9</v>
      </c>
      <c r="F24" s="382">
        <f>R24-O24</f>
        <v>-4</v>
      </c>
      <c r="G24" s="382">
        <f>O24-L24</f>
        <v>-10</v>
      </c>
      <c r="H24" s="382">
        <f>L24-I24</f>
        <v>-2</v>
      </c>
      <c r="I24" s="382">
        <v>-1</v>
      </c>
      <c r="J24" s="383"/>
      <c r="K24" s="382">
        <v>-17</v>
      </c>
      <c r="L24" s="382">
        <v>-3</v>
      </c>
      <c r="M24" s="382"/>
      <c r="N24" s="382">
        <v>-25</v>
      </c>
      <c r="O24" s="382">
        <v>-13</v>
      </c>
      <c r="P24" s="382"/>
      <c r="Q24" s="382">
        <v>0</v>
      </c>
      <c r="R24" s="382">
        <v>-17</v>
      </c>
      <c r="S24" s="382">
        <v>-14</v>
      </c>
    </row>
    <row r="25" spans="1:20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17"/>
      <c r="K25" s="21"/>
      <c r="L25" s="21"/>
      <c r="M25" s="21"/>
      <c r="N25" s="21"/>
      <c r="O25" s="21"/>
      <c r="P25" s="21"/>
      <c r="Q25" s="21"/>
      <c r="R25" s="21"/>
      <c r="S25" s="21"/>
    </row>
    <row r="26" spans="1:20" x14ac:dyDescent="0.25">
      <c r="A26" s="144" t="s">
        <v>213</v>
      </c>
      <c r="B26" s="87"/>
      <c r="C26" s="87"/>
      <c r="D26" s="87"/>
      <c r="E26" s="87"/>
      <c r="F26" s="87"/>
      <c r="G26" s="87"/>
      <c r="H26" s="87"/>
      <c r="I26" s="87"/>
      <c r="J26" s="17"/>
      <c r="K26" s="87"/>
      <c r="L26" s="87"/>
      <c r="N26" s="87"/>
      <c r="O26" s="87"/>
      <c r="Q26" s="87"/>
      <c r="R26" s="87"/>
      <c r="S26" s="87"/>
    </row>
    <row r="27" spans="1:20" ht="15" x14ac:dyDescent="0.2">
      <c r="A27" s="419" t="s">
        <v>174</v>
      </c>
      <c r="B27" s="194">
        <v>0</v>
      </c>
      <c r="C27" s="194">
        <v>0.27700000000000002</v>
      </c>
      <c r="D27" s="194">
        <v>0.27700000000000002</v>
      </c>
      <c r="E27" s="194">
        <v>0.30399999999999999</v>
      </c>
      <c r="F27" s="194">
        <v>0.34499999999999997</v>
      </c>
      <c r="G27" s="194">
        <v>0.27700000000000002</v>
      </c>
      <c r="H27" s="194">
        <v>0.35299999999999998</v>
      </c>
      <c r="I27" s="194">
        <v>0.379</v>
      </c>
      <c r="J27" s="194"/>
      <c r="K27" s="194">
        <v>0.28999999999999998</v>
      </c>
      <c r="L27" s="194">
        <v>0.36599999999999999</v>
      </c>
      <c r="M27" s="195"/>
      <c r="N27" s="194">
        <v>0.28499999999999998</v>
      </c>
      <c r="O27" s="194">
        <v>0.33600000000000002</v>
      </c>
      <c r="P27" s="195"/>
      <c r="Q27" s="194">
        <v>0</v>
      </c>
      <c r="R27" s="194">
        <v>0.33900000000000002</v>
      </c>
      <c r="S27" s="194">
        <v>0.33500000000000002</v>
      </c>
    </row>
    <row r="28" spans="1:20" ht="15" x14ac:dyDescent="0.2">
      <c r="A28" s="419" t="s">
        <v>300</v>
      </c>
      <c r="B28" s="196">
        <v>0</v>
      </c>
      <c r="C28" s="196">
        <v>0.52900000000000003</v>
      </c>
      <c r="D28" s="196">
        <v>0.53300000000000003</v>
      </c>
      <c r="E28" s="196">
        <v>0.51300000000000001</v>
      </c>
      <c r="F28" s="196">
        <v>0.51100000000000001</v>
      </c>
      <c r="G28" s="196">
        <v>0.53900000000000003</v>
      </c>
      <c r="H28" s="196">
        <v>0.52300000000000002</v>
      </c>
      <c r="I28" s="196">
        <v>0.53100000000000003</v>
      </c>
      <c r="J28" s="196"/>
      <c r="K28" s="196">
        <v>0.52400000000000002</v>
      </c>
      <c r="L28" s="196">
        <v>0.52700000000000002</v>
      </c>
      <c r="M28" s="197"/>
      <c r="N28" s="196">
        <v>0.52500000000000002</v>
      </c>
      <c r="O28" s="196">
        <v>0.53100000000000003</v>
      </c>
      <c r="P28" s="197"/>
      <c r="Q28" s="196">
        <v>0</v>
      </c>
      <c r="R28" s="196">
        <v>0.52600000000000002</v>
      </c>
      <c r="S28" s="196">
        <v>0.52100000000000002</v>
      </c>
    </row>
    <row r="29" spans="1:20" s="182" customFormat="1" x14ac:dyDescent="0.25">
      <c r="A29" s="183" t="s">
        <v>76</v>
      </c>
      <c r="B29" s="198">
        <f t="shared" ref="B29:I29" si="32">SUM(B27:B28)</f>
        <v>0</v>
      </c>
      <c r="C29" s="198">
        <f t="shared" si="32"/>
        <v>0.80600000000000005</v>
      </c>
      <c r="D29" s="198">
        <f t="shared" si="32"/>
        <v>0.81</v>
      </c>
      <c r="E29" s="198">
        <f t="shared" si="32"/>
        <v>0.81699999999999995</v>
      </c>
      <c r="F29" s="198">
        <f t="shared" si="32"/>
        <v>0.85599999999999998</v>
      </c>
      <c r="G29" s="198">
        <f t="shared" si="32"/>
        <v>0.81600000000000006</v>
      </c>
      <c r="H29" s="198">
        <f t="shared" si="32"/>
        <v>0.876</v>
      </c>
      <c r="I29" s="198">
        <f t="shared" si="32"/>
        <v>0.91</v>
      </c>
      <c r="J29" s="199"/>
      <c r="K29" s="198">
        <f t="shared" ref="K29" si="33">SUM(K27:K28)</f>
        <v>0.81400000000000006</v>
      </c>
      <c r="L29" s="198">
        <f t="shared" ref="L29" si="34">SUM(L27:L28)</f>
        <v>0.89300000000000002</v>
      </c>
      <c r="M29" s="200"/>
      <c r="N29" s="198">
        <f t="shared" ref="N29" si="35">SUM(N27:N28)</f>
        <v>0.81</v>
      </c>
      <c r="O29" s="198">
        <f t="shared" ref="O29" si="36">SUM(O27:O28)</f>
        <v>0.86699999999999999</v>
      </c>
      <c r="P29" s="200"/>
      <c r="Q29" s="198">
        <f t="shared" ref="Q29" si="37">SUM(Q27:Q28)</f>
        <v>0</v>
      </c>
      <c r="R29" s="198">
        <f t="shared" ref="R29:S29" si="38">SUM(R27:R28)</f>
        <v>0.86499999999999999</v>
      </c>
      <c r="S29" s="198">
        <f t="shared" si="38"/>
        <v>0.85600000000000009</v>
      </c>
    </row>
    <row r="30" spans="1:20" ht="15.75" customHeight="1" x14ac:dyDescent="0.25">
      <c r="A30" s="15"/>
      <c r="B30" s="165"/>
      <c r="C30" s="165"/>
      <c r="D30" s="165"/>
      <c r="E30" s="165"/>
      <c r="F30" s="165"/>
      <c r="G30" s="165"/>
      <c r="H30" s="165"/>
      <c r="I30" s="165"/>
      <c r="J30" s="192"/>
      <c r="K30" s="165"/>
      <c r="L30" s="165"/>
      <c r="M30" s="193"/>
      <c r="N30" s="165"/>
      <c r="O30" s="165"/>
      <c r="P30" s="193"/>
      <c r="Q30" s="165"/>
      <c r="R30" s="165"/>
      <c r="S30" s="165"/>
    </row>
    <row r="31" spans="1:20" ht="15.75" customHeight="1" x14ac:dyDescent="0.25">
      <c r="A31" s="153" t="s">
        <v>377</v>
      </c>
      <c r="B31" s="483">
        <v>0</v>
      </c>
      <c r="C31" s="483">
        <v>0.85799999999999998</v>
      </c>
      <c r="D31" s="483">
        <v>0.85199999999999998</v>
      </c>
      <c r="E31" s="483">
        <v>0.88500000000000001</v>
      </c>
      <c r="F31" s="483">
        <v>0.88800000000000001</v>
      </c>
      <c r="G31" s="483">
        <v>0.90300000000000002</v>
      </c>
      <c r="H31" s="483">
        <v>0.88600000000000001</v>
      </c>
      <c r="I31" s="483">
        <v>0.90200000000000002</v>
      </c>
      <c r="J31" s="483"/>
      <c r="K31" s="483">
        <v>0.86799999999999999</v>
      </c>
      <c r="L31" s="483">
        <v>0.89400000000000002</v>
      </c>
      <c r="M31" s="483"/>
      <c r="N31" s="483">
        <v>0.86399999999999999</v>
      </c>
      <c r="O31" s="483">
        <v>0.89700000000000002</v>
      </c>
      <c r="P31" s="483"/>
      <c r="Q31" s="483">
        <v>0</v>
      </c>
      <c r="R31" s="483">
        <v>0.89500000000000002</v>
      </c>
      <c r="S31" s="483">
        <v>0.88</v>
      </c>
      <c r="T31" s="168"/>
    </row>
    <row r="32" spans="1:20" ht="15.75" customHeight="1" x14ac:dyDescent="0.25">
      <c r="A32" s="15"/>
      <c r="B32" s="165"/>
      <c r="C32" s="165"/>
      <c r="D32" s="165"/>
      <c r="E32" s="165"/>
      <c r="F32" s="165"/>
      <c r="G32" s="165"/>
      <c r="H32" s="165"/>
      <c r="I32" s="165"/>
      <c r="J32" s="192"/>
      <c r="K32" s="165"/>
      <c r="L32" s="165"/>
      <c r="M32" s="193"/>
      <c r="N32" s="165"/>
      <c r="O32" s="165"/>
      <c r="P32" s="193"/>
      <c r="Q32" s="165"/>
      <c r="R32" s="165"/>
      <c r="S32" s="165"/>
    </row>
    <row r="33" spans="1:19" ht="15.75" customHeight="1" x14ac:dyDescent="0.2">
      <c r="A33" s="144" t="s">
        <v>141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</row>
    <row r="34" spans="1:19" ht="15.75" customHeight="1" x14ac:dyDescent="0.2">
      <c r="A34" s="445" t="s">
        <v>220</v>
      </c>
      <c r="B34" s="128">
        <v>0</v>
      </c>
      <c r="C34" s="354">
        <v>0.32900000000000001</v>
      </c>
      <c r="D34" s="354">
        <v>0.31900000000000001</v>
      </c>
      <c r="E34" s="354">
        <v>0.372</v>
      </c>
      <c r="F34" s="128">
        <v>0.377</v>
      </c>
      <c r="G34" s="354">
        <v>0.36399999999999999</v>
      </c>
      <c r="H34" s="128">
        <v>0.36299999999999999</v>
      </c>
      <c r="I34" s="354">
        <v>0.371</v>
      </c>
      <c r="J34" s="123"/>
      <c r="K34" s="354">
        <v>0.34399999999999997</v>
      </c>
      <c r="L34" s="128">
        <v>0.36699999999999999</v>
      </c>
      <c r="M34" s="123"/>
      <c r="N34" s="354">
        <v>0.33900000000000002</v>
      </c>
      <c r="O34" s="354">
        <v>0.36599999999999999</v>
      </c>
      <c r="P34" s="123"/>
      <c r="Q34" s="128">
        <v>0</v>
      </c>
      <c r="R34" s="128">
        <v>0.36899999999999999</v>
      </c>
      <c r="S34" s="128">
        <v>0.35899999999999999</v>
      </c>
    </row>
    <row r="35" spans="1:19" ht="15.75" customHeight="1" x14ac:dyDescent="0.2">
      <c r="A35" s="238" t="s">
        <v>378</v>
      </c>
      <c r="B35" s="123">
        <v>0</v>
      </c>
      <c r="C35" s="123">
        <v>-5.8000000000000003E-2</v>
      </c>
      <c r="D35" s="123">
        <v>-6.2E-2</v>
      </c>
      <c r="E35" s="123">
        <v>-7.2999999999999995E-2</v>
      </c>
      <c r="F35" s="123">
        <v>-3.3000000000000002E-2</v>
      </c>
      <c r="G35" s="123">
        <v>-0.09</v>
      </c>
      <c r="H35" s="123">
        <v>-1.7999999999999999E-2</v>
      </c>
      <c r="I35" s="123">
        <v>-7.0000000000000001E-3</v>
      </c>
      <c r="J35" s="123"/>
      <c r="K35" s="123">
        <v>-6.7000000000000004E-2</v>
      </c>
      <c r="L35" s="123">
        <v>-1.2E-2</v>
      </c>
      <c r="M35" s="123"/>
      <c r="N35" s="123">
        <v>-6.5000000000000002E-2</v>
      </c>
      <c r="O35" s="123">
        <v>-3.9E-2</v>
      </c>
      <c r="P35" s="123"/>
      <c r="Q35" s="123">
        <v>0</v>
      </c>
      <c r="R35" s="123">
        <v>-3.6999999999999998E-2</v>
      </c>
      <c r="S35" s="123">
        <v>-0.03</v>
      </c>
    </row>
    <row r="36" spans="1:19" ht="15.75" customHeight="1" x14ac:dyDescent="0.2">
      <c r="A36" s="238" t="s">
        <v>214</v>
      </c>
      <c r="B36" s="129">
        <v>0</v>
      </c>
      <c r="C36" s="129">
        <v>6.0000000000000001E-3</v>
      </c>
      <c r="D36" s="129">
        <v>0.02</v>
      </c>
      <c r="E36" s="129">
        <v>5.0000000000000001E-3</v>
      </c>
      <c r="F36" s="129">
        <v>1E-3</v>
      </c>
      <c r="G36" s="129">
        <v>3.0000000000000001E-3</v>
      </c>
      <c r="H36" s="129">
        <v>8.0000000000000002E-3</v>
      </c>
      <c r="I36" s="129">
        <v>1.4999999999999999E-2</v>
      </c>
      <c r="J36" s="123"/>
      <c r="K36" s="129">
        <v>1.2999999999999999E-2</v>
      </c>
      <c r="L36" s="129">
        <v>1.0999999999999999E-2</v>
      </c>
      <c r="M36" s="123"/>
      <c r="N36" s="129">
        <v>1.0999999999999999E-2</v>
      </c>
      <c r="O36" s="129">
        <v>8.9999999999999993E-3</v>
      </c>
      <c r="P36" s="123"/>
      <c r="Q36" s="129">
        <v>0</v>
      </c>
      <c r="R36" s="129">
        <v>7.0000000000000001E-3</v>
      </c>
      <c r="S36" s="129">
        <v>6.0000000000000001E-3</v>
      </c>
    </row>
    <row r="37" spans="1:19" ht="15.75" customHeight="1" x14ac:dyDescent="0.25">
      <c r="A37" s="150" t="s">
        <v>174</v>
      </c>
      <c r="B37" s="130">
        <f t="shared" ref="B37:E37" si="39">B27</f>
        <v>0</v>
      </c>
      <c r="C37" s="130">
        <f t="shared" si="39"/>
        <v>0.27700000000000002</v>
      </c>
      <c r="D37" s="130">
        <f t="shared" si="39"/>
        <v>0.27700000000000002</v>
      </c>
      <c r="E37" s="130">
        <f t="shared" si="39"/>
        <v>0.30399999999999999</v>
      </c>
      <c r="F37" s="130">
        <f t="shared" ref="F37:I37" si="40">F27</f>
        <v>0.34499999999999997</v>
      </c>
      <c r="G37" s="130">
        <f t="shared" si="40"/>
        <v>0.27700000000000002</v>
      </c>
      <c r="H37" s="130">
        <f t="shared" si="40"/>
        <v>0.35299999999999998</v>
      </c>
      <c r="I37" s="130">
        <f t="shared" si="40"/>
        <v>0.379</v>
      </c>
      <c r="J37" s="127"/>
      <c r="K37" s="130">
        <f>K27</f>
        <v>0.28999999999999998</v>
      </c>
      <c r="L37" s="130">
        <f>L27</f>
        <v>0.36599999999999999</v>
      </c>
      <c r="M37" s="127"/>
      <c r="N37" s="130">
        <f>N27</f>
        <v>0.28499999999999998</v>
      </c>
      <c r="O37" s="130">
        <f>O27</f>
        <v>0.33600000000000002</v>
      </c>
      <c r="P37" s="127"/>
      <c r="Q37" s="130">
        <f>Q27</f>
        <v>0</v>
      </c>
      <c r="R37" s="130">
        <f>R27</f>
        <v>0.33900000000000002</v>
      </c>
      <c r="S37" s="130">
        <f>S27</f>
        <v>0.33500000000000002</v>
      </c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&amp;C10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7"/>
  <dimension ref="A1:V31"/>
  <sheetViews>
    <sheetView zoomScale="85" zoomScaleNormal="85" workbookViewId="0"/>
  </sheetViews>
  <sheetFormatPr defaultColWidth="9.77734375" defaultRowHeight="15.75" customHeight="1" x14ac:dyDescent="0.2"/>
  <cols>
    <col min="1" max="1" width="55.77734375" style="179" customWidth="1"/>
    <col min="2" max="2" width="10.77734375" style="18" hidden="1" customWidth="1"/>
    <col min="3" max="7" width="10.77734375" style="18" customWidth="1"/>
    <col min="8" max="9" width="10.77734375" style="18" hidden="1" customWidth="1"/>
    <col min="10" max="10" width="1.77734375" style="18" customWidth="1"/>
    <col min="11" max="12" width="10.77734375" style="18" hidden="1" customWidth="1"/>
    <col min="13" max="13" width="1.77734375" style="18" hidden="1" customWidth="1"/>
    <col min="14" max="15" width="10.77734375" style="18" customWidth="1"/>
    <col min="16" max="16" width="1.77734375" style="18" hidden="1" customWidth="1"/>
    <col min="17" max="19" width="10.77734375" style="18" hidden="1" customWidth="1"/>
    <col min="20" max="16384" width="9.77734375" style="19"/>
  </cols>
  <sheetData>
    <row r="1" spans="1:22" s="172" customFormat="1" ht="18" x14ac:dyDescent="0.25">
      <c r="A1" s="131" t="str">
        <f>'Cover Page'!$H$10</f>
        <v>American Financial Group, Inc.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22" s="172" customFormat="1" ht="18" x14ac:dyDescent="0.25">
      <c r="A2" s="173" t="s">
        <v>58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22" s="172" customFormat="1" ht="18" x14ac:dyDescent="0.25">
      <c r="A3" s="16" t="s">
        <v>14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22" s="179" customFormat="1" x14ac:dyDescent="0.25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6"/>
      <c r="L4" s="177"/>
      <c r="M4" s="176"/>
      <c r="N4" s="176"/>
      <c r="O4" s="177"/>
      <c r="P4" s="176"/>
      <c r="Q4" s="176"/>
      <c r="R4" s="178"/>
      <c r="S4" s="178"/>
    </row>
    <row r="5" spans="1:22" s="179" customFormat="1" x14ac:dyDescent="0.25">
      <c r="A5" s="20"/>
      <c r="B5" s="145" t="s">
        <v>2</v>
      </c>
      <c r="C5" s="145" t="s">
        <v>2</v>
      </c>
      <c r="D5" s="145"/>
      <c r="E5" s="145"/>
      <c r="F5" s="146"/>
      <c r="G5" s="146"/>
      <c r="H5" s="146"/>
      <c r="I5" s="146"/>
      <c r="J5" s="17"/>
      <c r="K5" s="145" t="s">
        <v>6</v>
      </c>
      <c r="L5" s="146"/>
      <c r="M5" s="180"/>
      <c r="N5" s="145" t="s">
        <v>7</v>
      </c>
      <c r="O5" s="146"/>
      <c r="Q5" s="145" t="s">
        <v>3</v>
      </c>
      <c r="R5" s="145" t="s">
        <v>3</v>
      </c>
      <c r="S5" s="146"/>
    </row>
    <row r="6" spans="1:22" s="143" customFormat="1" ht="20.25" x14ac:dyDescent="0.55000000000000004">
      <c r="A6" s="150"/>
      <c r="B6" s="69" t="s">
        <v>384</v>
      </c>
      <c r="C6" s="69" t="s">
        <v>385</v>
      </c>
      <c r="D6" s="69" t="s">
        <v>386</v>
      </c>
      <c r="E6" s="69" t="s">
        <v>387</v>
      </c>
      <c r="F6" s="69" t="s">
        <v>322</v>
      </c>
      <c r="G6" s="69" t="s">
        <v>323</v>
      </c>
      <c r="H6" s="69" t="s">
        <v>324</v>
      </c>
      <c r="I6" s="69" t="s">
        <v>325</v>
      </c>
      <c r="J6" s="84"/>
      <c r="K6" s="84" t="s">
        <v>386</v>
      </c>
      <c r="L6" s="84" t="s">
        <v>324</v>
      </c>
      <c r="M6" s="84"/>
      <c r="N6" s="84" t="s">
        <v>385</v>
      </c>
      <c r="O6" s="84" t="s">
        <v>323</v>
      </c>
      <c r="P6" s="84"/>
      <c r="Q6" s="84" t="s">
        <v>384</v>
      </c>
      <c r="R6" s="84" t="s">
        <v>322</v>
      </c>
      <c r="S6" s="84" t="s">
        <v>117</v>
      </c>
      <c r="T6" s="142"/>
      <c r="U6" s="142"/>
      <c r="V6" s="96"/>
    </row>
    <row r="7" spans="1:22" s="179" customFormat="1" x14ac:dyDescent="0.25">
      <c r="A7" s="15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21"/>
      <c r="N7" s="87"/>
      <c r="O7" s="87"/>
      <c r="P7" s="21"/>
      <c r="Q7" s="87"/>
      <c r="R7" s="87"/>
      <c r="S7" s="87"/>
    </row>
    <row r="8" spans="1:22" ht="15" x14ac:dyDescent="0.2">
      <c r="A8" s="16" t="s">
        <v>215</v>
      </c>
      <c r="B8" s="22">
        <f>Q8-N8</f>
        <v>0</v>
      </c>
      <c r="C8" s="22">
        <f>N8-K8</f>
        <v>0</v>
      </c>
      <c r="D8" s="22">
        <f>K8-E8</f>
        <v>0</v>
      </c>
      <c r="E8" s="22">
        <f>'Pg 7 P&amp;C_Specialty_UW'!E8-'Pg 8 P&amp;C_P&amp;T_UW'!E8-'Pg 9 P&amp;C_SC_UW'!E8-'Pg 10 P&amp;C_SF_UW'!E8</f>
        <v>0</v>
      </c>
      <c r="F8" s="22">
        <f>R8-O8</f>
        <v>1</v>
      </c>
      <c r="G8" s="22">
        <f>O8-L8</f>
        <v>0</v>
      </c>
      <c r="H8" s="22">
        <f>L8-I8</f>
        <v>0</v>
      </c>
      <c r="I8" s="22">
        <f>'Pg 7 P&amp;C_Specialty_UW'!I8-'Pg 8 P&amp;C_P&amp;T_UW'!I8-'Pg 9 P&amp;C_SC_UW'!I8-'Pg 10 P&amp;C_SF_UW'!I8</f>
        <v>0</v>
      </c>
      <c r="J8" s="22"/>
      <c r="K8" s="22">
        <f>'Pg 7 P&amp;C_Specialty_UW'!K8-'Pg 8 P&amp;C_P&amp;T_UW'!K8-'Pg 9 P&amp;C_SC_UW'!K8-'Pg 10 P&amp;C_SF_UW'!K8</f>
        <v>0</v>
      </c>
      <c r="L8" s="22">
        <f>'Pg 7 P&amp;C_Specialty_UW'!L8-'Pg 8 P&amp;C_P&amp;T_UW'!L8-'Pg 9 P&amp;C_SC_UW'!L8-'Pg 10 P&amp;C_SF_UW'!L8</f>
        <v>0</v>
      </c>
      <c r="M8" s="23"/>
      <c r="N8" s="22">
        <f>'Pg 7 P&amp;C_Specialty_UW'!N8-'Pg 8 P&amp;C_P&amp;T_UW'!N8-'Pg 9 P&amp;C_SC_UW'!N8-'Pg 10 P&amp;C_SF_UW'!N8</f>
        <v>0</v>
      </c>
      <c r="O8" s="22">
        <f>'Pg 7 P&amp;C_Specialty_UW'!O8-'Pg 8 P&amp;C_P&amp;T_UW'!O8-'Pg 9 P&amp;C_SC_UW'!O8-'Pg 10 P&amp;C_SF_UW'!O8</f>
        <v>0</v>
      </c>
      <c r="P8" s="23"/>
      <c r="Q8" s="22">
        <f>'Pg 7 P&amp;C_Specialty_UW'!Q8-'Pg 8 P&amp;C_P&amp;T_UW'!Q8-'Pg 9 P&amp;C_SC_UW'!Q8-'Pg 10 P&amp;C_SF_UW'!Q8</f>
        <v>0</v>
      </c>
      <c r="R8" s="22">
        <f>'Pg 7 P&amp;C_Specialty_UW'!R8-'Pg 8 P&amp;C_P&amp;T_UW'!R8-'Pg 9 P&amp;C_SC_UW'!R8-'Pg 10 P&amp;C_SF_UW'!R8</f>
        <v>1</v>
      </c>
      <c r="S8" s="22">
        <f>'Pg 7 P&amp;C_Specialty_UW'!S8-'Pg 8 P&amp;C_P&amp;T_UW'!S8-'Pg 9 P&amp;C_SC_UW'!S8-'Pg 10 P&amp;C_SF_UW'!S8</f>
        <v>1</v>
      </c>
    </row>
    <row r="9" spans="1:22" ht="17.25" x14ac:dyDescent="0.35">
      <c r="A9" s="16" t="s">
        <v>216</v>
      </c>
      <c r="B9" s="85">
        <f t="shared" ref="B9:H9" si="0">B10-B8</f>
        <v>-76</v>
      </c>
      <c r="C9" s="85">
        <f t="shared" si="0"/>
        <v>29</v>
      </c>
      <c r="D9" s="85">
        <f t="shared" si="0"/>
        <v>25</v>
      </c>
      <c r="E9" s="85">
        <f t="shared" si="0"/>
        <v>22</v>
      </c>
      <c r="F9" s="85">
        <f t="shared" si="0"/>
        <v>22</v>
      </c>
      <c r="G9" s="85">
        <f t="shared" si="0"/>
        <v>29</v>
      </c>
      <c r="H9" s="85">
        <f t="shared" si="0"/>
        <v>26</v>
      </c>
      <c r="I9" s="85">
        <f t="shared" ref="I9:L9" si="1">I10-I8</f>
        <v>24</v>
      </c>
      <c r="J9" s="17"/>
      <c r="K9" s="85">
        <f t="shared" si="1"/>
        <v>47</v>
      </c>
      <c r="L9" s="85">
        <f t="shared" si="1"/>
        <v>50</v>
      </c>
      <c r="M9" s="86"/>
      <c r="N9" s="85">
        <f t="shared" ref="N9:O9" si="2">N10-N8</f>
        <v>76</v>
      </c>
      <c r="O9" s="85">
        <f t="shared" si="2"/>
        <v>79</v>
      </c>
      <c r="P9" s="86"/>
      <c r="Q9" s="85">
        <f t="shared" ref="Q9:S9" si="3">Q10-Q8</f>
        <v>0</v>
      </c>
      <c r="R9" s="85">
        <f t="shared" si="3"/>
        <v>101</v>
      </c>
      <c r="S9" s="85">
        <f t="shared" si="3"/>
        <v>83</v>
      </c>
    </row>
    <row r="10" spans="1:22" ht="15" x14ac:dyDescent="0.2">
      <c r="A10" s="16" t="s">
        <v>217</v>
      </c>
      <c r="B10" s="17">
        <f>Q10-N10</f>
        <v>-76</v>
      </c>
      <c r="C10" s="17">
        <f>N10-K10</f>
        <v>29</v>
      </c>
      <c r="D10" s="17">
        <f>K10-E10</f>
        <v>25</v>
      </c>
      <c r="E10" s="17">
        <f>'Pg 7 P&amp;C_Specialty_UW'!E10-'Pg 8 P&amp;C_P&amp;T_UW'!E10-'Pg 9 P&amp;C_SC_UW'!E10-'Pg 10 P&amp;C_SF_UW'!E10</f>
        <v>22</v>
      </c>
      <c r="F10" s="17">
        <f>R10-O10</f>
        <v>23</v>
      </c>
      <c r="G10" s="17">
        <f>O10-L10</f>
        <v>29</v>
      </c>
      <c r="H10" s="17">
        <f>L10-I10</f>
        <v>26</v>
      </c>
      <c r="I10" s="17">
        <f>'Pg 7 P&amp;C_Specialty_UW'!I10-'Pg 8 P&amp;C_P&amp;T_UW'!I10-'Pg 9 P&amp;C_SC_UW'!I10-'Pg 10 P&amp;C_SF_UW'!I10</f>
        <v>24</v>
      </c>
      <c r="J10" s="17"/>
      <c r="K10" s="17">
        <f>'Pg 7 P&amp;C_Specialty_UW'!K10-'Pg 8 P&amp;C_P&amp;T_UW'!K10-'Pg 9 P&amp;C_SC_UW'!K10-'Pg 10 P&amp;C_SF_UW'!K10</f>
        <v>47</v>
      </c>
      <c r="L10" s="17">
        <f>'Pg 7 P&amp;C_Specialty_UW'!L10-'Pg 8 P&amp;C_P&amp;T_UW'!L10-'Pg 9 P&amp;C_SC_UW'!L10-'Pg 10 P&amp;C_SF_UW'!L10</f>
        <v>50</v>
      </c>
      <c r="N10" s="17">
        <f>'Pg 7 P&amp;C_Specialty_UW'!N10-'Pg 8 P&amp;C_P&amp;T_UW'!N10-'Pg 9 P&amp;C_SC_UW'!N10-'Pg 10 P&amp;C_SF_UW'!N10</f>
        <v>76</v>
      </c>
      <c r="O10" s="17">
        <f>'Pg 7 P&amp;C_Specialty_UW'!O10-'Pg 8 P&amp;C_P&amp;T_UW'!O10-'Pg 9 P&amp;C_SC_UW'!O10-'Pg 10 P&amp;C_SF_UW'!O10</f>
        <v>79</v>
      </c>
      <c r="Q10" s="17">
        <f>'Pg 7 P&amp;C_Specialty_UW'!Q10-'Pg 8 P&amp;C_P&amp;T_UW'!Q10-'Pg 9 P&amp;C_SC_UW'!Q10-'Pg 10 P&amp;C_SF_UW'!Q10</f>
        <v>0</v>
      </c>
      <c r="R10" s="17">
        <f>'Pg 7 P&amp;C_Specialty_UW'!R10-'Pg 8 P&amp;C_P&amp;T_UW'!R10-'Pg 9 P&amp;C_SC_UW'!R10-'Pg 10 P&amp;C_SF_UW'!R10</f>
        <v>102</v>
      </c>
      <c r="S10" s="17">
        <f>'Pg 7 P&amp;C_Specialty_UW'!S10-'Pg 8 P&amp;C_P&amp;T_UW'!S10-'Pg 9 P&amp;C_SC_UW'!S10-'Pg 10 P&amp;C_SF_UW'!S10</f>
        <v>84</v>
      </c>
    </row>
    <row r="11" spans="1:22" ht="17.25" x14ac:dyDescent="0.35">
      <c r="A11" s="16" t="s">
        <v>48</v>
      </c>
      <c r="B11" s="85">
        <f t="shared" ref="B11:H11" si="4">B12-B10</f>
        <v>5</v>
      </c>
      <c r="C11" s="85">
        <f t="shared" si="4"/>
        <v>-7</v>
      </c>
      <c r="D11" s="85">
        <f t="shared" si="4"/>
        <v>1</v>
      </c>
      <c r="E11" s="85">
        <f t="shared" si="4"/>
        <v>1</v>
      </c>
      <c r="F11" s="85">
        <f t="shared" si="4"/>
        <v>3</v>
      </c>
      <c r="G11" s="85">
        <f t="shared" si="4"/>
        <v>-2</v>
      </c>
      <c r="H11" s="85">
        <f t="shared" si="4"/>
        <v>-2</v>
      </c>
      <c r="I11" s="85">
        <f t="shared" ref="I11:L11" si="5">I12-I10</f>
        <v>-1</v>
      </c>
      <c r="J11" s="17"/>
      <c r="K11" s="85">
        <f t="shared" si="5"/>
        <v>2</v>
      </c>
      <c r="L11" s="85">
        <f t="shared" si="5"/>
        <v>-3</v>
      </c>
      <c r="N11" s="85">
        <f t="shared" ref="N11:O11" si="6">N12-N10</f>
        <v>-5</v>
      </c>
      <c r="O11" s="85">
        <f t="shared" si="6"/>
        <v>-5</v>
      </c>
      <c r="Q11" s="85">
        <f t="shared" ref="Q11:S11" si="7">Q12-Q10</f>
        <v>0</v>
      </c>
      <c r="R11" s="85">
        <f t="shared" si="7"/>
        <v>-2</v>
      </c>
      <c r="S11" s="85">
        <f t="shared" si="7"/>
        <v>-5</v>
      </c>
    </row>
    <row r="12" spans="1:22" x14ac:dyDescent="0.25">
      <c r="A12" s="20" t="s">
        <v>218</v>
      </c>
      <c r="B12" s="17">
        <f>Q12-N12</f>
        <v>-71</v>
      </c>
      <c r="C12" s="17">
        <f>N12-K12</f>
        <v>22</v>
      </c>
      <c r="D12" s="17">
        <f>K12-E12</f>
        <v>26</v>
      </c>
      <c r="E12" s="17">
        <f>'Pg 7 P&amp;C_Specialty_UW'!E12-'Pg 8 P&amp;C_P&amp;T_UW'!E12-'Pg 9 P&amp;C_SC_UW'!E12-'Pg 10 P&amp;C_SF_UW'!E12</f>
        <v>23</v>
      </c>
      <c r="F12" s="17">
        <f>R12-O12</f>
        <v>26</v>
      </c>
      <c r="G12" s="17">
        <f>O12-L12</f>
        <v>27</v>
      </c>
      <c r="H12" s="17">
        <f>L12-I12</f>
        <v>24</v>
      </c>
      <c r="I12" s="17">
        <f>'Pg 7 P&amp;C_Specialty_UW'!I12-'Pg 8 P&amp;C_P&amp;T_UW'!I12-'Pg 9 P&amp;C_SC_UW'!I12-'Pg 10 P&amp;C_SF_UW'!I12</f>
        <v>23</v>
      </c>
      <c r="J12" s="17"/>
      <c r="K12" s="17">
        <f>'Pg 7 P&amp;C_Specialty_UW'!K12-'Pg 8 P&amp;C_P&amp;T_UW'!K12-'Pg 9 P&amp;C_SC_UW'!K12-'Pg 10 P&amp;C_SF_UW'!K12</f>
        <v>49</v>
      </c>
      <c r="L12" s="17">
        <f>'Pg 7 P&amp;C_Specialty_UW'!L12-'Pg 8 P&amp;C_P&amp;T_UW'!L12-'Pg 9 P&amp;C_SC_UW'!L12-'Pg 10 P&amp;C_SF_UW'!L12</f>
        <v>47</v>
      </c>
      <c r="M12" s="21"/>
      <c r="N12" s="17">
        <f>'Pg 7 P&amp;C_Specialty_UW'!N12-'Pg 8 P&amp;C_P&amp;T_UW'!N12-'Pg 9 P&amp;C_SC_UW'!N12-'Pg 10 P&amp;C_SF_UW'!N12</f>
        <v>71</v>
      </c>
      <c r="O12" s="17">
        <f>'Pg 7 P&amp;C_Specialty_UW'!O12-'Pg 8 P&amp;C_P&amp;T_UW'!O12-'Pg 9 P&amp;C_SC_UW'!O12-'Pg 10 P&amp;C_SF_UW'!O12</f>
        <v>74</v>
      </c>
      <c r="P12" s="21"/>
      <c r="Q12" s="17">
        <f>'Pg 7 P&amp;C_Specialty_UW'!Q12-'Pg 8 P&amp;C_P&amp;T_UW'!Q12-'Pg 9 P&amp;C_SC_UW'!Q12-'Pg 10 P&amp;C_SF_UW'!Q12</f>
        <v>0</v>
      </c>
      <c r="R12" s="17">
        <f>'Pg 7 P&amp;C_Specialty_UW'!R12-'Pg 8 P&amp;C_P&amp;T_UW'!R12-'Pg 9 P&amp;C_SC_UW'!R12-'Pg 10 P&amp;C_SF_UW'!R12</f>
        <v>100</v>
      </c>
      <c r="S12" s="17">
        <f>'Pg 7 P&amp;C_Specialty_UW'!S12-'Pg 8 P&amp;C_P&amp;T_UW'!S12-'Pg 9 P&amp;C_SC_UW'!S12-'Pg 10 P&amp;C_SF_UW'!S12</f>
        <v>79</v>
      </c>
    </row>
    <row r="13" spans="1:22" x14ac:dyDescent="0.25">
      <c r="A13" s="20"/>
      <c r="B13" s="87"/>
      <c r="C13" s="87"/>
      <c r="D13" s="87"/>
      <c r="E13" s="87"/>
      <c r="F13" s="87"/>
      <c r="G13" s="87"/>
      <c r="H13" s="87"/>
      <c r="I13" s="87"/>
      <c r="J13" s="17"/>
      <c r="K13" s="87"/>
      <c r="L13" s="87"/>
      <c r="N13" s="87"/>
      <c r="O13" s="87"/>
      <c r="Q13" s="87"/>
      <c r="R13" s="87"/>
      <c r="S13" s="87"/>
    </row>
    <row r="14" spans="1:22" ht="15" x14ac:dyDescent="0.2">
      <c r="A14" s="20" t="s">
        <v>154</v>
      </c>
      <c r="B14" s="18">
        <f>Q14-N14</f>
        <v>-32</v>
      </c>
      <c r="C14" s="18">
        <f>N14-K14</f>
        <v>6</v>
      </c>
      <c r="D14" s="18">
        <f>K14-E14</f>
        <v>13</v>
      </c>
      <c r="E14" s="18">
        <f>'Pg 7 P&amp;C_Specialty_UW'!E14-'Pg 8 P&amp;C_P&amp;T_UW'!E14-'Pg 9 P&amp;C_SC_UW'!E14-'Pg 10 P&amp;C_SF_UW'!E14</f>
        <v>13</v>
      </c>
      <c r="F14" s="18">
        <f>R14-O14</f>
        <v>13</v>
      </c>
      <c r="G14" s="18">
        <f>O14-L14</f>
        <v>11</v>
      </c>
      <c r="H14" s="18">
        <f>L14-I14</f>
        <v>14</v>
      </c>
      <c r="I14" s="18">
        <f>'Pg 7 P&amp;C_Specialty_UW'!I14-'Pg 8 P&amp;C_P&amp;T_UW'!I14-'Pg 9 P&amp;C_SC_UW'!I14-'Pg 10 P&amp;C_SF_UW'!I14</f>
        <v>10</v>
      </c>
      <c r="J14" s="17"/>
      <c r="K14" s="18">
        <f>'Pg 7 P&amp;C_Specialty_UW'!K14-'Pg 8 P&amp;C_P&amp;T_UW'!K14-'Pg 9 P&amp;C_SC_UW'!K14-'Pg 10 P&amp;C_SF_UW'!K14</f>
        <v>26</v>
      </c>
      <c r="L14" s="18">
        <f>'Pg 7 P&amp;C_Specialty_UW'!L14-'Pg 8 P&amp;C_P&amp;T_UW'!L14-'Pg 9 P&amp;C_SC_UW'!L14-'Pg 10 P&amp;C_SF_UW'!L14</f>
        <v>24</v>
      </c>
      <c r="N14" s="18">
        <f>'Pg 7 P&amp;C_Specialty_UW'!N14-'Pg 8 P&amp;C_P&amp;T_UW'!N14-'Pg 9 P&amp;C_SC_UW'!N14-'Pg 10 P&amp;C_SF_UW'!N14</f>
        <v>32</v>
      </c>
      <c r="O14" s="18">
        <f>'Pg 7 P&amp;C_Specialty_UW'!O14-'Pg 8 P&amp;C_P&amp;T_UW'!O14-'Pg 9 P&amp;C_SC_UW'!O14-'Pg 10 P&amp;C_SF_UW'!O14</f>
        <v>35</v>
      </c>
      <c r="Q14" s="18">
        <f>'Pg 7 P&amp;C_Specialty_UW'!Q14-'Pg 8 P&amp;C_P&amp;T_UW'!Q14-'Pg 9 P&amp;C_SC_UW'!Q14-'Pg 10 P&amp;C_SF_UW'!Q14</f>
        <v>0</v>
      </c>
      <c r="R14" s="18">
        <f>'Pg 7 P&amp;C_Specialty_UW'!R14-'Pg 8 P&amp;C_P&amp;T_UW'!R14-'Pg 9 P&amp;C_SC_UW'!R14-'Pg 10 P&amp;C_SF_UW'!R14</f>
        <v>48</v>
      </c>
      <c r="S14" s="18">
        <f>'Pg 7 P&amp;C_Specialty_UW'!S14-'Pg 8 P&amp;C_P&amp;T_UW'!S14-'Pg 9 P&amp;C_SC_UW'!S14-'Pg 10 P&amp;C_SF_UW'!S14</f>
        <v>26</v>
      </c>
    </row>
    <row r="15" spans="1:22" ht="17.25" x14ac:dyDescent="0.35">
      <c r="A15" s="20" t="s">
        <v>299</v>
      </c>
      <c r="B15" s="88">
        <f>Q15-N15</f>
        <v>-26</v>
      </c>
      <c r="C15" s="88">
        <f>N15-K15</f>
        <v>9</v>
      </c>
      <c r="D15" s="88">
        <f>K15-E15</f>
        <v>10</v>
      </c>
      <c r="E15" s="88">
        <f>'Pg 7 P&amp;C_Specialty_UW'!E15-'Pg 8 P&amp;C_P&amp;T_UW'!E15-'Pg 9 P&amp;C_SC_UW'!E15-'Pg 10 P&amp;C_SF_UW'!E15</f>
        <v>7</v>
      </c>
      <c r="F15" s="88">
        <f>R15-O15</f>
        <v>10</v>
      </c>
      <c r="G15" s="88">
        <f>O15-L15</f>
        <v>10</v>
      </c>
      <c r="H15" s="88">
        <f>L15-I15</f>
        <v>8</v>
      </c>
      <c r="I15" s="88">
        <f>'Pg 7 P&amp;C_Specialty_UW'!I15-'Pg 8 P&amp;C_P&amp;T_UW'!I15-'Pg 9 P&amp;C_SC_UW'!I15-'Pg 10 P&amp;C_SF_UW'!I15</f>
        <v>8</v>
      </c>
      <c r="J15" s="85"/>
      <c r="K15" s="88">
        <f>'Pg 7 P&amp;C_Specialty_UW'!K15-'Pg 8 P&amp;C_P&amp;T_UW'!K15-'Pg 9 P&amp;C_SC_UW'!K15-'Pg 10 P&amp;C_SF_UW'!K15</f>
        <v>17</v>
      </c>
      <c r="L15" s="88">
        <f>'Pg 7 P&amp;C_Specialty_UW'!L15-'Pg 8 P&amp;C_P&amp;T_UW'!L15-'Pg 9 P&amp;C_SC_UW'!L15-'Pg 10 P&amp;C_SF_UW'!L15</f>
        <v>16</v>
      </c>
      <c r="M15" s="88"/>
      <c r="N15" s="88">
        <f>'Pg 7 P&amp;C_Specialty_UW'!N15-'Pg 8 P&amp;C_P&amp;T_UW'!N15-'Pg 9 P&amp;C_SC_UW'!N15-'Pg 10 P&amp;C_SF_UW'!N15</f>
        <v>26</v>
      </c>
      <c r="O15" s="88">
        <f>'Pg 7 P&amp;C_Specialty_UW'!O15-'Pg 8 P&amp;C_P&amp;T_UW'!O15-'Pg 9 P&amp;C_SC_UW'!O15-'Pg 10 P&amp;C_SF_UW'!O15</f>
        <v>26</v>
      </c>
      <c r="P15" s="88"/>
      <c r="Q15" s="88">
        <f>'Pg 7 P&amp;C_Specialty_UW'!Q15-'Pg 8 P&amp;C_P&amp;T_UW'!Q15-'Pg 9 P&amp;C_SC_UW'!Q15-'Pg 10 P&amp;C_SF_UW'!Q15</f>
        <v>0</v>
      </c>
      <c r="R15" s="88">
        <f>'Pg 7 P&amp;C_Specialty_UW'!R15-'Pg 8 P&amp;C_P&amp;T_UW'!R15-'Pg 9 P&amp;C_SC_UW'!R15-'Pg 10 P&amp;C_SF_UW'!R15</f>
        <v>36</v>
      </c>
      <c r="S15" s="88">
        <f>'Pg 7 P&amp;C_Specialty_UW'!S15-'Pg 8 P&amp;C_P&amp;T_UW'!S15-'Pg 9 P&amp;C_SC_UW'!S15-'Pg 10 P&amp;C_SF_UW'!S15</f>
        <v>28</v>
      </c>
    </row>
    <row r="16" spans="1:22" s="182" customFormat="1" ht="18" x14ac:dyDescent="0.4">
      <c r="A16" s="181" t="s">
        <v>77</v>
      </c>
      <c r="B16" s="89">
        <f t="shared" ref="B16:H16" si="8">B12-SUM(B14:B15)</f>
        <v>-13</v>
      </c>
      <c r="C16" s="89">
        <f t="shared" si="8"/>
        <v>7</v>
      </c>
      <c r="D16" s="89">
        <f t="shared" si="8"/>
        <v>3</v>
      </c>
      <c r="E16" s="89">
        <f t="shared" si="8"/>
        <v>3</v>
      </c>
      <c r="F16" s="89">
        <f t="shared" si="8"/>
        <v>3</v>
      </c>
      <c r="G16" s="89">
        <f t="shared" si="8"/>
        <v>6</v>
      </c>
      <c r="H16" s="89">
        <f t="shared" si="8"/>
        <v>2</v>
      </c>
      <c r="I16" s="89">
        <f t="shared" ref="I16:L16" si="9">I12-SUM(I14:I15)</f>
        <v>5</v>
      </c>
      <c r="J16" s="90"/>
      <c r="K16" s="89">
        <f t="shared" si="9"/>
        <v>6</v>
      </c>
      <c r="L16" s="89">
        <f t="shared" si="9"/>
        <v>7</v>
      </c>
      <c r="M16" s="91"/>
      <c r="N16" s="89">
        <f t="shared" ref="N16:O16" si="10">N12-SUM(N14:N15)</f>
        <v>13</v>
      </c>
      <c r="O16" s="89">
        <f t="shared" si="10"/>
        <v>13</v>
      </c>
      <c r="P16" s="91"/>
      <c r="Q16" s="89">
        <f t="shared" ref="Q16:S16" si="11">Q12-SUM(Q14:Q15)</f>
        <v>0</v>
      </c>
      <c r="R16" s="89">
        <f t="shared" si="11"/>
        <v>16</v>
      </c>
      <c r="S16" s="89">
        <f t="shared" si="11"/>
        <v>25</v>
      </c>
    </row>
    <row r="17" spans="1:20" x14ac:dyDescent="0.25">
      <c r="A17" s="20"/>
      <c r="B17" s="21"/>
      <c r="C17" s="21"/>
      <c r="D17" s="21"/>
      <c r="E17" s="21"/>
      <c r="F17" s="21"/>
      <c r="G17" s="21"/>
      <c r="H17" s="21"/>
      <c r="I17" s="21"/>
      <c r="J17" s="17"/>
      <c r="K17" s="21"/>
      <c r="L17" s="21"/>
      <c r="M17" s="21"/>
      <c r="N17" s="21"/>
      <c r="O17" s="21"/>
      <c r="P17" s="21"/>
      <c r="Q17" s="21"/>
      <c r="R17" s="21"/>
      <c r="S17" s="21"/>
    </row>
    <row r="18" spans="1:20" x14ac:dyDescent="0.25">
      <c r="A18" s="20" t="s">
        <v>219</v>
      </c>
      <c r="B18" s="21"/>
      <c r="C18" s="21"/>
      <c r="D18" s="21"/>
      <c r="E18" s="21"/>
      <c r="F18" s="21"/>
      <c r="G18" s="21"/>
      <c r="H18" s="21"/>
      <c r="I18" s="21"/>
      <c r="J18" s="17"/>
      <c r="K18" s="21"/>
      <c r="L18" s="21"/>
      <c r="M18" s="21"/>
      <c r="N18" s="21"/>
      <c r="O18" s="21"/>
      <c r="P18" s="21"/>
      <c r="Q18" s="21"/>
      <c r="R18" s="21"/>
      <c r="S18" s="21"/>
    </row>
    <row r="19" spans="1:20" x14ac:dyDescent="0.25">
      <c r="A19" s="415" t="s">
        <v>210</v>
      </c>
      <c r="B19" s="21"/>
      <c r="C19" s="21"/>
      <c r="D19" s="21"/>
      <c r="E19" s="21"/>
      <c r="F19" s="21"/>
      <c r="G19" s="21"/>
      <c r="H19" s="21"/>
      <c r="I19" s="21"/>
      <c r="J19" s="17"/>
      <c r="K19" s="21"/>
      <c r="L19" s="21"/>
      <c r="M19" s="21"/>
      <c r="N19" s="21"/>
      <c r="O19" s="21"/>
      <c r="P19" s="21"/>
      <c r="Q19" s="21"/>
      <c r="R19" s="21"/>
      <c r="S19" s="21"/>
    </row>
    <row r="20" spans="1:20" ht="15" x14ac:dyDescent="0.2">
      <c r="A20" s="457" t="s">
        <v>211</v>
      </c>
      <c r="B20" s="46">
        <f>Q20-N20</f>
        <v>0</v>
      </c>
      <c r="C20" s="46">
        <f>N20-K20</f>
        <v>0</v>
      </c>
      <c r="D20" s="46">
        <f>K20-E20</f>
        <v>0</v>
      </c>
      <c r="E20" s="46">
        <f>'Pg 7 P&amp;C_Specialty_UW'!E20-'Pg 8 P&amp;C_P&amp;T_UW'!E20-'Pg 9 P&amp;C_SC_UW'!E20-'Pg 10 P&amp;C_SF_UW'!E20</f>
        <v>0</v>
      </c>
      <c r="F20" s="46">
        <f>R20-O20</f>
        <v>0</v>
      </c>
      <c r="G20" s="46">
        <f>O20-L20</f>
        <v>0</v>
      </c>
      <c r="H20" s="46">
        <f>L20-I20</f>
        <v>0</v>
      </c>
      <c r="I20" s="46">
        <f>'Pg 7 P&amp;C_Specialty_UW'!I20-'Pg 8 P&amp;C_P&amp;T_UW'!I20-'Pg 9 P&amp;C_SC_UW'!I20-'Pg 10 P&amp;C_SF_UW'!I20</f>
        <v>0</v>
      </c>
      <c r="J20" s="22"/>
      <c r="K20" s="46">
        <f>'Pg 7 P&amp;C_Specialty_UW'!K20-'Pg 8 P&amp;C_P&amp;T_UW'!K20-'Pg 9 P&amp;C_SC_UW'!K20-'Pg 10 P&amp;C_SF_UW'!K20</f>
        <v>0</v>
      </c>
      <c r="L20" s="46">
        <f>'Pg 7 P&amp;C_Specialty_UW'!L20-'Pg 8 P&amp;C_P&amp;T_UW'!L20-'Pg 9 P&amp;C_SC_UW'!L20-'Pg 10 P&amp;C_SF_UW'!L20</f>
        <v>0</v>
      </c>
      <c r="M20" s="46"/>
      <c r="N20" s="46">
        <f>'Pg 7 P&amp;C_Specialty_UW'!N20-'Pg 8 P&amp;C_P&amp;T_UW'!N20-'Pg 9 P&amp;C_SC_UW'!N20-'Pg 10 P&amp;C_SF_UW'!N20</f>
        <v>0</v>
      </c>
      <c r="O20" s="46">
        <f>'Pg 7 P&amp;C_Specialty_UW'!O20-'Pg 8 P&amp;C_P&amp;T_UW'!O20-'Pg 9 P&amp;C_SC_UW'!O20-'Pg 10 P&amp;C_SF_UW'!O20</f>
        <v>0</v>
      </c>
      <c r="P20" s="46"/>
      <c r="Q20" s="46">
        <f>'Pg 7 P&amp;C_Specialty_UW'!Q20-'Pg 8 P&amp;C_P&amp;T_UW'!Q20-'Pg 9 P&amp;C_SC_UW'!Q20-'Pg 10 P&amp;C_SF_UW'!Q20</f>
        <v>0</v>
      </c>
      <c r="R20" s="46">
        <f>'Pg 7 P&amp;C_Specialty_UW'!R20-'Pg 8 P&amp;C_P&amp;T_UW'!R20-'Pg 9 P&amp;C_SC_UW'!R20-'Pg 10 P&amp;C_SF_UW'!R20</f>
        <v>0</v>
      </c>
      <c r="S20" s="46">
        <f>'Pg 7 P&amp;C_Specialty_UW'!S20-'Pg 8 P&amp;C_P&amp;T_UW'!S20-'Pg 9 P&amp;C_SC_UW'!S20-'Pg 10 P&amp;C_SF_UW'!S20</f>
        <v>0</v>
      </c>
    </row>
    <row r="21" spans="1:20" ht="17.25" x14ac:dyDescent="0.35">
      <c r="A21" s="457" t="s">
        <v>212</v>
      </c>
      <c r="B21" s="88">
        <f>B22-B20</f>
        <v>-1</v>
      </c>
      <c r="C21" s="88">
        <f t="shared" ref="C21:H21" si="12">C22-C20</f>
        <v>1</v>
      </c>
      <c r="D21" s="88">
        <f t="shared" si="12"/>
        <v>0</v>
      </c>
      <c r="E21" s="88">
        <f t="shared" si="12"/>
        <v>0</v>
      </c>
      <c r="F21" s="88">
        <f t="shared" si="12"/>
        <v>0</v>
      </c>
      <c r="G21" s="88">
        <f t="shared" si="12"/>
        <v>1</v>
      </c>
      <c r="H21" s="88">
        <f t="shared" si="12"/>
        <v>0</v>
      </c>
      <c r="I21" s="88">
        <f t="shared" ref="I21" si="13">I22-I20</f>
        <v>0</v>
      </c>
      <c r="J21" s="85"/>
      <c r="K21" s="88">
        <f t="shared" ref="K21:L21" si="14">K22-K20</f>
        <v>0</v>
      </c>
      <c r="L21" s="88">
        <f t="shared" si="14"/>
        <v>0</v>
      </c>
      <c r="M21" s="88"/>
      <c r="N21" s="88">
        <f t="shared" ref="N21:O21" si="15">N22-N20</f>
        <v>1</v>
      </c>
      <c r="O21" s="88">
        <f t="shared" si="15"/>
        <v>1</v>
      </c>
      <c r="P21" s="88"/>
      <c r="Q21" s="88">
        <f t="shared" ref="Q21:S21" si="16">Q22-Q20</f>
        <v>0</v>
      </c>
      <c r="R21" s="88">
        <f t="shared" si="16"/>
        <v>1</v>
      </c>
      <c r="S21" s="88">
        <f t="shared" si="16"/>
        <v>0</v>
      </c>
    </row>
    <row r="22" spans="1:20" ht="17.25" x14ac:dyDescent="0.35">
      <c r="A22" s="457" t="s">
        <v>139</v>
      </c>
      <c r="B22" s="382">
        <f>Q22-N22</f>
        <v>-1</v>
      </c>
      <c r="C22" s="382">
        <f>N22-K22</f>
        <v>1</v>
      </c>
      <c r="D22" s="382">
        <f>K22-E22</f>
        <v>0</v>
      </c>
      <c r="E22" s="382">
        <f>'Pg 7 P&amp;C_Specialty_UW'!E22-'Pg 8 P&amp;C_P&amp;T_UW'!E22-'Pg 9 P&amp;C_SC_UW'!E22-'Pg 10 P&amp;C_SF_UW'!E22</f>
        <v>0</v>
      </c>
      <c r="F22" s="382">
        <f>R22-O22</f>
        <v>0</v>
      </c>
      <c r="G22" s="382">
        <f>O22-L22</f>
        <v>1</v>
      </c>
      <c r="H22" s="382">
        <f>L22-I22</f>
        <v>0</v>
      </c>
      <c r="I22" s="382">
        <f>'Pg 7 P&amp;C_Specialty_UW'!I22-'Pg 8 P&amp;C_P&amp;T_UW'!I22-'Pg 9 P&amp;C_SC_UW'!I22-'Pg 10 P&amp;C_SF_UW'!I22</f>
        <v>0</v>
      </c>
      <c r="J22" s="383"/>
      <c r="K22" s="382">
        <f>'Pg 7 P&amp;C_Specialty_UW'!K22-'Pg 8 P&amp;C_P&amp;T_UW'!K22-'Pg 9 P&amp;C_SC_UW'!K22-'Pg 10 P&amp;C_SF_UW'!K22</f>
        <v>0</v>
      </c>
      <c r="L22" s="382">
        <f>'Pg 7 P&amp;C_Specialty_UW'!L22-'Pg 8 P&amp;C_P&amp;T_UW'!L22-'Pg 9 P&amp;C_SC_UW'!L22-'Pg 10 P&amp;C_SF_UW'!L22</f>
        <v>0</v>
      </c>
      <c r="M22" s="382"/>
      <c r="N22" s="382">
        <f>'Pg 7 P&amp;C_Specialty_UW'!N22-'Pg 8 P&amp;C_P&amp;T_UW'!N22-'Pg 9 P&amp;C_SC_UW'!N22-'Pg 10 P&amp;C_SF_UW'!N22</f>
        <v>1</v>
      </c>
      <c r="O22" s="382">
        <f>'Pg 7 P&amp;C_Specialty_UW'!O22-'Pg 8 P&amp;C_P&amp;T_UW'!O22-'Pg 9 P&amp;C_SC_UW'!O22-'Pg 10 P&amp;C_SF_UW'!O22</f>
        <v>1</v>
      </c>
      <c r="P22" s="382"/>
      <c r="Q22" s="382">
        <f>'Pg 7 P&amp;C_Specialty_UW'!Q22-'Pg 8 P&amp;C_P&amp;T_UW'!Q22-'Pg 9 P&amp;C_SC_UW'!Q22-'Pg 10 P&amp;C_SF_UW'!Q22</f>
        <v>0</v>
      </c>
      <c r="R22" s="382">
        <f>'Pg 7 P&amp;C_Specialty_UW'!R22-'Pg 8 P&amp;C_P&amp;T_UW'!R22-'Pg 9 P&amp;C_SC_UW'!R22-'Pg 10 P&amp;C_SF_UW'!R22</f>
        <v>1</v>
      </c>
      <c r="S22" s="382">
        <f>'Pg 7 P&amp;C_Specialty_UW'!S22-'Pg 8 P&amp;C_P&amp;T_UW'!S22-'Pg 9 P&amp;C_SC_UW'!S22-'Pg 10 P&amp;C_SF_UW'!S22</f>
        <v>0</v>
      </c>
    </row>
    <row r="23" spans="1:20" ht="15" x14ac:dyDescent="0.2">
      <c r="A23" s="420"/>
      <c r="B23" s="46"/>
      <c r="C23" s="46"/>
      <c r="D23" s="46"/>
      <c r="E23" s="46"/>
      <c r="F23" s="46"/>
      <c r="G23" s="46"/>
      <c r="H23" s="46"/>
      <c r="I23" s="46"/>
      <c r="J23" s="22"/>
      <c r="K23" s="46"/>
      <c r="L23" s="46"/>
      <c r="M23" s="46"/>
      <c r="N23" s="46"/>
      <c r="O23" s="46"/>
      <c r="P23" s="46"/>
      <c r="Q23" s="46"/>
      <c r="R23" s="46"/>
      <c r="S23" s="46"/>
    </row>
    <row r="24" spans="1:20" s="179" customFormat="1" ht="17.25" x14ac:dyDescent="0.35">
      <c r="A24" s="415" t="s">
        <v>376</v>
      </c>
      <c r="B24" s="382">
        <f>Q24-N24</f>
        <v>10</v>
      </c>
      <c r="C24" s="382">
        <f>N24-K24</f>
        <v>-7</v>
      </c>
      <c r="D24" s="382">
        <f>K24-E24</f>
        <v>-2</v>
      </c>
      <c r="E24" s="382">
        <f>'Pg 7 P&amp;C_Specialty_UW'!E24-'Pg 8 P&amp;C_P&amp;T_UW'!E24-'Pg 9 P&amp;C_SC_UW'!E24-'Pg 10 P&amp;C_SF_UW'!E24</f>
        <v>-1</v>
      </c>
      <c r="F24" s="382">
        <f>R24-O24</f>
        <v>-3</v>
      </c>
      <c r="G24" s="382">
        <f>O24-L24</f>
        <v>-3</v>
      </c>
      <c r="H24" s="382">
        <f>L24-I24</f>
        <v>-2</v>
      </c>
      <c r="I24" s="382">
        <f>'Pg 7 P&amp;C_Specialty_UW'!I24-'Pg 8 P&amp;C_P&amp;T_UW'!I24-'Pg 9 P&amp;C_SC_UW'!I24-'Pg 10 P&amp;C_SF_UW'!I24</f>
        <v>-3</v>
      </c>
      <c r="J24" s="383"/>
      <c r="K24" s="382">
        <f>'Pg 7 P&amp;C_Specialty_UW'!K24-'Pg 8 P&amp;C_P&amp;T_UW'!K24-'Pg 9 P&amp;C_SC_UW'!K24-'Pg 10 P&amp;C_SF_UW'!K24</f>
        <v>-3</v>
      </c>
      <c r="L24" s="382">
        <f>'Pg 7 P&amp;C_Specialty_UW'!L24-'Pg 8 P&amp;C_P&amp;T_UW'!L24-'Pg 9 P&amp;C_SC_UW'!L24-'Pg 10 P&amp;C_SF_UW'!L24</f>
        <v>-5</v>
      </c>
      <c r="M24" s="382"/>
      <c r="N24" s="382">
        <f>'Pg 7 P&amp;C_Specialty_UW'!N24-'Pg 8 P&amp;C_P&amp;T_UW'!N24-'Pg 9 P&amp;C_SC_UW'!N24-'Pg 10 P&amp;C_SF_UW'!N24</f>
        <v>-10</v>
      </c>
      <c r="O24" s="382">
        <f>'Pg 7 P&amp;C_Specialty_UW'!O24-'Pg 8 P&amp;C_P&amp;T_UW'!O24-'Pg 9 P&amp;C_SC_UW'!O24-'Pg 10 P&amp;C_SF_UW'!O24</f>
        <v>-8</v>
      </c>
      <c r="P24" s="382"/>
      <c r="Q24" s="382">
        <f>'Pg 7 P&amp;C_Specialty_UW'!Q24-'Pg 8 P&amp;C_P&amp;T_UW'!Q24-'Pg 9 P&amp;C_SC_UW'!Q24-'Pg 10 P&amp;C_SF_UW'!Q24</f>
        <v>0</v>
      </c>
      <c r="R24" s="382">
        <f>'Pg 7 P&amp;C_Specialty_UW'!R24-'Pg 8 P&amp;C_P&amp;T_UW'!R24-'Pg 9 P&amp;C_SC_UW'!R24-'Pg 10 P&amp;C_SF_UW'!R24</f>
        <v>-11</v>
      </c>
      <c r="S24" s="382">
        <f>'Pg 7 P&amp;C_Specialty_UW'!S24-'Pg 8 P&amp;C_P&amp;T_UW'!S24-'Pg 9 P&amp;C_SC_UW'!S24-'Pg 10 P&amp;C_SF_UW'!S24</f>
        <v>-20</v>
      </c>
    </row>
    <row r="25" spans="1:20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17"/>
      <c r="K25" s="21"/>
      <c r="L25" s="21"/>
      <c r="M25" s="21"/>
      <c r="N25" s="21"/>
      <c r="O25" s="21"/>
      <c r="P25" s="21"/>
      <c r="Q25" s="21"/>
      <c r="R25" s="21"/>
      <c r="S25" s="21"/>
    </row>
    <row r="26" spans="1:20" x14ac:dyDescent="0.25">
      <c r="A26" s="144" t="s">
        <v>213</v>
      </c>
      <c r="B26" s="87"/>
      <c r="C26" s="87"/>
      <c r="D26" s="87"/>
      <c r="E26" s="87"/>
      <c r="F26" s="87"/>
      <c r="G26" s="87"/>
      <c r="H26" s="87"/>
      <c r="I26" s="87"/>
      <c r="J26" s="17"/>
      <c r="K26" s="87"/>
      <c r="L26" s="87"/>
      <c r="N26" s="87"/>
      <c r="O26" s="87"/>
      <c r="Q26" s="87"/>
      <c r="R26" s="87"/>
      <c r="S26" s="87"/>
    </row>
    <row r="27" spans="1:20" ht="15" x14ac:dyDescent="0.2">
      <c r="A27" s="419" t="s">
        <v>174</v>
      </c>
      <c r="B27" s="194">
        <v>0</v>
      </c>
      <c r="C27" s="194">
        <v>0.29399999999999998</v>
      </c>
      <c r="D27" s="194">
        <v>0.52400000000000002</v>
      </c>
      <c r="E27" s="194">
        <v>0.54400000000000004</v>
      </c>
      <c r="F27" s="194">
        <v>0.496</v>
      </c>
      <c r="G27" s="194">
        <v>0.434</v>
      </c>
      <c r="H27" s="194">
        <v>0.53200000000000003</v>
      </c>
      <c r="I27" s="194">
        <v>0.45800000000000002</v>
      </c>
      <c r="J27" s="194"/>
      <c r="K27" s="194">
        <v>0.53400000000000003</v>
      </c>
      <c r="L27" s="194">
        <v>0.496</v>
      </c>
      <c r="M27" s="195"/>
      <c r="N27" s="194">
        <v>0.45300000000000001</v>
      </c>
      <c r="O27" s="194">
        <v>0.47299999999999998</v>
      </c>
      <c r="P27" s="195"/>
      <c r="Q27" s="194">
        <v>0</v>
      </c>
      <c r="R27" s="194">
        <v>0.47899999999999998</v>
      </c>
      <c r="S27" s="194">
        <v>0.32900000000000001</v>
      </c>
    </row>
    <row r="28" spans="1:20" ht="15" x14ac:dyDescent="0.2">
      <c r="A28" s="419" t="s">
        <v>300</v>
      </c>
      <c r="B28" s="196">
        <v>0</v>
      </c>
      <c r="C28" s="196">
        <v>0.379</v>
      </c>
      <c r="D28" s="196">
        <v>0.35599999999999998</v>
      </c>
      <c r="E28" s="196">
        <v>0.34899999999999998</v>
      </c>
      <c r="F28" s="196">
        <v>0.373</v>
      </c>
      <c r="G28" s="196">
        <v>0.34599999999999997</v>
      </c>
      <c r="H28" s="196">
        <v>0.35799999999999998</v>
      </c>
      <c r="I28" s="196">
        <v>0.34100000000000003</v>
      </c>
      <c r="J28" s="196"/>
      <c r="K28" s="196">
        <v>0.35199999999999998</v>
      </c>
      <c r="L28" s="196">
        <v>0.35</v>
      </c>
      <c r="M28" s="197"/>
      <c r="N28" s="196">
        <v>0.36099999999999999</v>
      </c>
      <c r="O28" s="196">
        <v>0.34799999999999998</v>
      </c>
      <c r="P28" s="197"/>
      <c r="Q28" s="196">
        <v>0</v>
      </c>
      <c r="R28" s="196">
        <v>0.35499999999999998</v>
      </c>
      <c r="S28" s="196">
        <v>0.35899999999999999</v>
      </c>
    </row>
    <row r="29" spans="1:20" s="182" customFormat="1" x14ac:dyDescent="0.25">
      <c r="A29" s="183" t="s">
        <v>76</v>
      </c>
      <c r="B29" s="198">
        <f t="shared" ref="B29:E29" si="17">SUM(B27:B28)</f>
        <v>0</v>
      </c>
      <c r="C29" s="198">
        <f t="shared" si="17"/>
        <v>0.67300000000000004</v>
      </c>
      <c r="D29" s="198">
        <f t="shared" si="17"/>
        <v>0.88</v>
      </c>
      <c r="E29" s="198">
        <f t="shared" si="17"/>
        <v>0.89300000000000002</v>
      </c>
      <c r="F29" s="198">
        <f t="shared" ref="F29:I29" si="18">SUM(F27:F28)</f>
        <v>0.86899999999999999</v>
      </c>
      <c r="G29" s="198">
        <f t="shared" si="18"/>
        <v>0.78</v>
      </c>
      <c r="H29" s="198">
        <f t="shared" si="18"/>
        <v>0.89</v>
      </c>
      <c r="I29" s="198">
        <f t="shared" si="18"/>
        <v>0.79900000000000004</v>
      </c>
      <c r="J29" s="199"/>
      <c r="K29" s="198">
        <f t="shared" ref="K29" si="19">SUM(K27:K28)</f>
        <v>0.88600000000000001</v>
      </c>
      <c r="L29" s="198">
        <f t="shared" ref="L29" si="20">SUM(L27:L28)</f>
        <v>0.84599999999999997</v>
      </c>
      <c r="M29" s="200"/>
      <c r="N29" s="198">
        <f t="shared" ref="N29" si="21">SUM(N27:N28)</f>
        <v>0.81400000000000006</v>
      </c>
      <c r="O29" s="198">
        <f t="shared" ref="O29" si="22">SUM(O27:O28)</f>
        <v>0.82099999999999995</v>
      </c>
      <c r="P29" s="200"/>
      <c r="Q29" s="198">
        <f t="shared" ref="Q29" si="23">SUM(Q27:Q28)</f>
        <v>0</v>
      </c>
      <c r="R29" s="198">
        <f t="shared" ref="R29:S29" si="24">SUM(R27:R28)</f>
        <v>0.83399999999999996</v>
      </c>
      <c r="S29" s="198">
        <f t="shared" si="24"/>
        <v>0.68799999999999994</v>
      </c>
    </row>
    <row r="30" spans="1:20" s="182" customFormat="1" x14ac:dyDescent="0.25">
      <c r="A30" s="15"/>
      <c r="B30" s="184"/>
      <c r="C30" s="184"/>
      <c r="D30" s="184"/>
      <c r="E30" s="184"/>
      <c r="F30" s="184"/>
      <c r="G30" s="184"/>
      <c r="H30" s="184"/>
      <c r="I30" s="184"/>
      <c r="J30" s="183"/>
      <c r="K30" s="184"/>
      <c r="L30" s="184"/>
      <c r="M30" s="21"/>
      <c r="N30" s="184"/>
      <c r="O30" s="184"/>
      <c r="P30" s="21"/>
      <c r="Q30" s="184"/>
      <c r="R30" s="184"/>
      <c r="S30" s="184"/>
    </row>
    <row r="31" spans="1:20" ht="15.75" customHeight="1" x14ac:dyDescent="0.25">
      <c r="A31" s="153" t="s">
        <v>377</v>
      </c>
      <c r="B31" s="483">
        <v>0</v>
      </c>
      <c r="C31" s="483">
        <v>0.97599999999999998</v>
      </c>
      <c r="D31" s="483">
        <v>0.93200000000000005</v>
      </c>
      <c r="E31" s="483">
        <v>0.96599999999999997</v>
      </c>
      <c r="F31" s="483">
        <v>0.97399999999999998</v>
      </c>
      <c r="G31" s="483">
        <v>0.85599999999999998</v>
      </c>
      <c r="H31" s="483">
        <v>0.97099999999999997</v>
      </c>
      <c r="I31" s="483">
        <v>0.91400000000000003</v>
      </c>
      <c r="J31" s="483"/>
      <c r="K31" s="483">
        <v>0.94799999999999995</v>
      </c>
      <c r="L31" s="483">
        <v>0.94399999999999995</v>
      </c>
      <c r="M31" s="483"/>
      <c r="N31" s="483">
        <v>0.95699999999999996</v>
      </c>
      <c r="O31" s="483">
        <v>0.91100000000000003</v>
      </c>
      <c r="P31" s="483"/>
      <c r="Q31" s="483">
        <v>0</v>
      </c>
      <c r="R31" s="483">
        <v>0.92800000000000005</v>
      </c>
      <c r="S31" s="483">
        <v>0.93600000000000005</v>
      </c>
      <c r="T31" s="168"/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&amp;C11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44"/>
  <sheetViews>
    <sheetView zoomScale="85" zoomScaleNormal="85" workbookViewId="0"/>
  </sheetViews>
  <sheetFormatPr defaultRowHeight="15" x14ac:dyDescent="0.2"/>
  <cols>
    <col min="1" max="1" width="60" style="52" customWidth="1"/>
    <col min="2" max="2" width="10.88671875" style="52" hidden="1" customWidth="1"/>
    <col min="3" max="4" width="10.88671875" style="52" customWidth="1"/>
    <col min="5" max="7" width="10.77734375" style="52" customWidth="1"/>
    <col min="8" max="9" width="10.77734375" style="52" hidden="1" customWidth="1"/>
    <col min="10" max="10" width="1.77734375" style="52" customWidth="1"/>
    <col min="11" max="12" width="10.88671875" style="52" hidden="1" customWidth="1"/>
    <col min="13" max="13" width="1.77734375" style="52" hidden="1" customWidth="1"/>
    <col min="14" max="15" width="10.88671875" style="52" customWidth="1"/>
    <col min="16" max="16" width="1.77734375" style="52" hidden="1" customWidth="1"/>
    <col min="17" max="17" width="10.88671875" style="52" hidden="1" customWidth="1"/>
    <col min="18" max="19" width="10.77734375" style="52" hidden="1" customWidth="1"/>
    <col min="20" max="16384" width="8.88671875" style="52"/>
  </cols>
  <sheetData>
    <row r="1" spans="1:19" ht="18" x14ac:dyDescent="0.25">
      <c r="A1" s="131" t="str">
        <f>'Cover Page'!$H$10</f>
        <v>American Financial Group, Inc.</v>
      </c>
    </row>
    <row r="2" spans="1:19" ht="18" x14ac:dyDescent="0.25">
      <c r="A2" s="131" t="s">
        <v>362</v>
      </c>
    </row>
    <row r="3" spans="1:19" x14ac:dyDescent="0.2">
      <c r="A3" s="16" t="s">
        <v>14</v>
      </c>
    </row>
    <row r="5" spans="1:19" ht="15.75" x14ac:dyDescent="0.25">
      <c r="A5" s="203"/>
      <c r="B5" s="204" t="s">
        <v>2</v>
      </c>
      <c r="C5" s="204" t="s">
        <v>2</v>
      </c>
      <c r="D5" s="204"/>
      <c r="E5" s="204"/>
      <c r="F5" s="204"/>
      <c r="G5" s="205"/>
      <c r="H5" s="205"/>
      <c r="I5" s="205"/>
      <c r="J5" s="203"/>
      <c r="K5" s="204" t="s">
        <v>6</v>
      </c>
      <c r="L5" s="205"/>
      <c r="M5" s="206"/>
      <c r="N5" s="204" t="s">
        <v>7</v>
      </c>
      <c r="O5" s="205"/>
      <c r="P5" s="203"/>
      <c r="Q5" s="204" t="s">
        <v>3</v>
      </c>
      <c r="R5" s="204" t="s">
        <v>3</v>
      </c>
      <c r="S5" s="233"/>
    </row>
    <row r="6" spans="1:19" ht="20.25" x14ac:dyDescent="0.55000000000000004">
      <c r="A6" s="203"/>
      <c r="B6" s="69" t="s">
        <v>384</v>
      </c>
      <c r="C6" s="69" t="s">
        <v>385</v>
      </c>
      <c r="D6" s="69" t="s">
        <v>386</v>
      </c>
      <c r="E6" s="69" t="s">
        <v>387</v>
      </c>
      <c r="F6" s="69" t="s">
        <v>322</v>
      </c>
      <c r="G6" s="69" t="s">
        <v>323</v>
      </c>
      <c r="H6" s="69" t="s">
        <v>324</v>
      </c>
      <c r="I6" s="69" t="s">
        <v>325</v>
      </c>
      <c r="J6" s="84"/>
      <c r="K6" s="84" t="s">
        <v>386</v>
      </c>
      <c r="L6" s="84" t="s">
        <v>324</v>
      </c>
      <c r="M6" s="84"/>
      <c r="N6" s="84" t="s">
        <v>385</v>
      </c>
      <c r="O6" s="84" t="s">
        <v>323</v>
      </c>
      <c r="P6" s="84"/>
      <c r="Q6" s="84" t="s">
        <v>384</v>
      </c>
      <c r="R6" s="84" t="s">
        <v>322</v>
      </c>
      <c r="S6" s="84" t="s">
        <v>117</v>
      </c>
    </row>
    <row r="7" spans="1:19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208"/>
      <c r="L7" s="208"/>
      <c r="M7" s="62"/>
      <c r="N7" s="208"/>
      <c r="O7" s="208"/>
      <c r="P7" s="62"/>
      <c r="Q7" s="208"/>
      <c r="R7" s="208"/>
      <c r="S7" s="208"/>
    </row>
    <row r="8" spans="1:19" x14ac:dyDescent="0.2">
      <c r="A8" s="209" t="s">
        <v>144</v>
      </c>
      <c r="B8" s="212">
        <f>Q8-N8</f>
        <v>-915</v>
      </c>
      <c r="C8" s="212">
        <f>N8-K8</f>
        <v>317</v>
      </c>
      <c r="D8" s="212">
        <f>K8-E8</f>
        <v>306</v>
      </c>
      <c r="E8" s="212">
        <v>292</v>
      </c>
      <c r="F8" s="212">
        <f>R8-O8</f>
        <v>285</v>
      </c>
      <c r="G8" s="212">
        <f>O8-L8</f>
        <v>287</v>
      </c>
      <c r="H8" s="212">
        <f>L8-I8</f>
        <v>289</v>
      </c>
      <c r="I8" s="212">
        <v>275</v>
      </c>
      <c r="J8" s="212"/>
      <c r="K8" s="212">
        <v>598</v>
      </c>
      <c r="L8" s="212">
        <v>564</v>
      </c>
      <c r="M8" s="213"/>
      <c r="N8" s="212">
        <v>915</v>
      </c>
      <c r="O8" s="212">
        <v>851</v>
      </c>
      <c r="P8" s="213"/>
      <c r="Q8" s="212">
        <v>0</v>
      </c>
      <c r="R8" s="212">
        <v>1136</v>
      </c>
      <c r="S8" s="212">
        <v>1034</v>
      </c>
    </row>
    <row r="9" spans="1:19" x14ac:dyDescent="0.2">
      <c r="A9" s="207" t="s">
        <v>231</v>
      </c>
      <c r="B9" s="64">
        <f>Q9-N9</f>
        <v>-31</v>
      </c>
      <c r="C9" s="64">
        <f>N9-K9</f>
        <v>11</v>
      </c>
      <c r="D9" s="64">
        <f>K9-E9</f>
        <v>10</v>
      </c>
      <c r="E9" s="64">
        <v>10</v>
      </c>
      <c r="F9" s="64">
        <f>R9-O9</f>
        <v>9</v>
      </c>
      <c r="G9" s="64">
        <f>O9-L9</f>
        <v>9</v>
      </c>
      <c r="H9" s="64">
        <f>L9-I9</f>
        <v>8</v>
      </c>
      <c r="I9" s="64">
        <v>8</v>
      </c>
      <c r="J9" s="64"/>
      <c r="K9" s="64">
        <v>20</v>
      </c>
      <c r="L9" s="64">
        <v>16</v>
      </c>
      <c r="M9" s="64"/>
      <c r="N9" s="64">
        <v>31</v>
      </c>
      <c r="O9" s="64">
        <v>25</v>
      </c>
      <c r="P9" s="64"/>
      <c r="Q9" s="64">
        <v>0</v>
      </c>
      <c r="R9" s="64">
        <v>34</v>
      </c>
      <c r="S9" s="64">
        <v>25</v>
      </c>
    </row>
    <row r="10" spans="1:19" ht="17.25" x14ac:dyDescent="0.35">
      <c r="A10" s="209" t="s">
        <v>198</v>
      </c>
      <c r="B10" s="65">
        <f>Q10-N10</f>
        <v>-37</v>
      </c>
      <c r="C10" s="65">
        <f>N10-K10</f>
        <v>11</v>
      </c>
      <c r="D10" s="65">
        <f>K10-E10</f>
        <v>12</v>
      </c>
      <c r="E10" s="65">
        <v>14</v>
      </c>
      <c r="F10" s="65">
        <f>R10-O10</f>
        <v>12</v>
      </c>
      <c r="G10" s="65">
        <f>O10-L10</f>
        <v>11</v>
      </c>
      <c r="H10" s="65">
        <f>L10-I10</f>
        <v>11</v>
      </c>
      <c r="I10" s="65">
        <v>10</v>
      </c>
      <c r="J10" s="65"/>
      <c r="K10" s="65">
        <v>26</v>
      </c>
      <c r="L10" s="65">
        <v>21</v>
      </c>
      <c r="M10" s="210"/>
      <c r="N10" s="65">
        <v>37</v>
      </c>
      <c r="O10" s="65">
        <v>32</v>
      </c>
      <c r="P10" s="210"/>
      <c r="Q10" s="65">
        <v>0</v>
      </c>
      <c r="R10" s="65">
        <v>44</v>
      </c>
      <c r="S10" s="65">
        <v>42</v>
      </c>
    </row>
    <row r="11" spans="1:19" ht="17.25" x14ac:dyDescent="0.35">
      <c r="A11" s="63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210"/>
      <c r="N11" s="65"/>
      <c r="O11" s="65"/>
      <c r="P11" s="210"/>
      <c r="Q11" s="65"/>
      <c r="R11" s="65"/>
      <c r="S11" s="65"/>
    </row>
    <row r="12" spans="1:19" x14ac:dyDescent="0.2">
      <c r="A12" s="421" t="s">
        <v>95</v>
      </c>
      <c r="B12" s="62">
        <f t="shared" ref="B12:H12" si="0">SUM(B8:B10)</f>
        <v>-983</v>
      </c>
      <c r="C12" s="62">
        <f t="shared" si="0"/>
        <v>339</v>
      </c>
      <c r="D12" s="62">
        <f t="shared" si="0"/>
        <v>328</v>
      </c>
      <c r="E12" s="62">
        <f t="shared" si="0"/>
        <v>316</v>
      </c>
      <c r="F12" s="62">
        <f t="shared" si="0"/>
        <v>306</v>
      </c>
      <c r="G12" s="62">
        <f t="shared" si="0"/>
        <v>307</v>
      </c>
      <c r="H12" s="62">
        <f t="shared" si="0"/>
        <v>308</v>
      </c>
      <c r="I12" s="62">
        <f t="shared" ref="I12" si="1">SUM(I8:I10)</f>
        <v>293</v>
      </c>
      <c r="J12" s="62"/>
      <c r="K12" s="62">
        <f>SUM(K8:K10)</f>
        <v>644</v>
      </c>
      <c r="L12" s="62">
        <f>SUM(L8:L10)</f>
        <v>601</v>
      </c>
      <c r="M12" s="62"/>
      <c r="N12" s="62">
        <f>SUM(N8:N10)</f>
        <v>983</v>
      </c>
      <c r="O12" s="62">
        <f>SUM(O8:O10)</f>
        <v>908</v>
      </c>
      <c r="P12" s="62"/>
      <c r="Q12" s="62">
        <f>SUM(Q8:Q10)</f>
        <v>0</v>
      </c>
      <c r="R12" s="62">
        <f>SUM(R8:R10)</f>
        <v>1214</v>
      </c>
      <c r="S12" s="62">
        <f>SUM(S8:S10)</f>
        <v>1101</v>
      </c>
    </row>
    <row r="13" spans="1:19" x14ac:dyDescent="0.2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x14ac:dyDescent="0.2">
      <c r="A14" s="207" t="s">
        <v>366</v>
      </c>
      <c r="B14" s="64">
        <f>Q14-N14</f>
        <v>-543</v>
      </c>
      <c r="C14" s="64">
        <f>N14-K14</f>
        <v>208</v>
      </c>
      <c r="D14" s="64">
        <f>K14-E14</f>
        <v>151</v>
      </c>
      <c r="E14" s="64">
        <v>184</v>
      </c>
      <c r="F14" s="64">
        <f>R14-O14</f>
        <v>157</v>
      </c>
      <c r="G14" s="64">
        <f>O14-L14</f>
        <v>157</v>
      </c>
      <c r="H14" s="64">
        <f>L14-I14</f>
        <v>166</v>
      </c>
      <c r="I14" s="64">
        <v>168</v>
      </c>
      <c r="J14" s="64"/>
      <c r="K14" s="64">
        <v>335</v>
      </c>
      <c r="L14" s="64">
        <v>334</v>
      </c>
      <c r="M14" s="64"/>
      <c r="N14" s="64">
        <v>543</v>
      </c>
      <c r="O14" s="64">
        <v>491</v>
      </c>
      <c r="P14" s="64"/>
      <c r="Q14" s="64">
        <v>0</v>
      </c>
      <c r="R14" s="64">
        <v>648</v>
      </c>
      <c r="S14" s="64">
        <v>531</v>
      </c>
    </row>
    <row r="15" spans="1:19" x14ac:dyDescent="0.2">
      <c r="A15" s="207" t="s">
        <v>265</v>
      </c>
      <c r="B15" s="64">
        <f>Q15-N15</f>
        <v>-136</v>
      </c>
      <c r="C15" s="64">
        <f>N15-K15</f>
        <v>42</v>
      </c>
      <c r="D15" s="64">
        <f>K15-E15</f>
        <v>60</v>
      </c>
      <c r="E15" s="64">
        <v>34</v>
      </c>
      <c r="F15" s="64">
        <f>R15-O15</f>
        <v>47</v>
      </c>
      <c r="G15" s="64">
        <f>O15-L15</f>
        <v>41</v>
      </c>
      <c r="H15" s="64">
        <f>L15-I15</f>
        <v>37</v>
      </c>
      <c r="I15" s="64">
        <v>31</v>
      </c>
      <c r="J15" s="64"/>
      <c r="K15" s="64">
        <v>94</v>
      </c>
      <c r="L15" s="64">
        <v>68</v>
      </c>
      <c r="M15" s="64"/>
      <c r="N15" s="64">
        <v>136</v>
      </c>
      <c r="O15" s="64">
        <v>109</v>
      </c>
      <c r="P15" s="64"/>
      <c r="Q15" s="64">
        <v>0</v>
      </c>
      <c r="R15" s="64">
        <v>156</v>
      </c>
      <c r="S15" s="64">
        <v>149</v>
      </c>
    </row>
    <row r="16" spans="1:19" ht="17.25" x14ac:dyDescent="0.35">
      <c r="A16" s="207" t="s">
        <v>266</v>
      </c>
      <c r="B16" s="65">
        <f>Q16-N16</f>
        <v>-74</v>
      </c>
      <c r="C16" s="65">
        <f>N16-K16</f>
        <v>22</v>
      </c>
      <c r="D16" s="65">
        <f>K16-E16</f>
        <v>29</v>
      </c>
      <c r="E16" s="65">
        <v>23</v>
      </c>
      <c r="F16" s="65">
        <f>R16-O16</f>
        <v>17</v>
      </c>
      <c r="G16" s="65">
        <f>O16-L16</f>
        <v>23</v>
      </c>
      <c r="H16" s="65">
        <f>L16-I16</f>
        <v>21</v>
      </c>
      <c r="I16" s="65">
        <v>21</v>
      </c>
      <c r="J16" s="65"/>
      <c r="K16" s="65">
        <v>52</v>
      </c>
      <c r="L16" s="65">
        <v>42</v>
      </c>
      <c r="M16" s="65"/>
      <c r="N16" s="65">
        <v>74</v>
      </c>
      <c r="O16" s="65">
        <v>65</v>
      </c>
      <c r="P16" s="65"/>
      <c r="Q16" s="65">
        <v>0</v>
      </c>
      <c r="R16" s="65">
        <v>82</v>
      </c>
      <c r="S16" s="65">
        <v>93</v>
      </c>
    </row>
    <row r="17" spans="1:22" ht="17.25" x14ac:dyDescent="0.35">
      <c r="A17" s="62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22" ht="17.25" x14ac:dyDescent="0.35">
      <c r="A18" s="421" t="s">
        <v>96</v>
      </c>
      <c r="B18" s="67">
        <f t="shared" ref="B18:H18" si="2">SUM(B14:B16)</f>
        <v>-753</v>
      </c>
      <c r="C18" s="67">
        <f t="shared" si="2"/>
        <v>272</v>
      </c>
      <c r="D18" s="67">
        <f t="shared" si="2"/>
        <v>240</v>
      </c>
      <c r="E18" s="67">
        <f t="shared" si="2"/>
        <v>241</v>
      </c>
      <c r="F18" s="67">
        <f t="shared" si="2"/>
        <v>221</v>
      </c>
      <c r="G18" s="67">
        <f t="shared" si="2"/>
        <v>221</v>
      </c>
      <c r="H18" s="67">
        <f t="shared" si="2"/>
        <v>224</v>
      </c>
      <c r="I18" s="67">
        <f t="shared" ref="I18" si="3">SUM(I14:I16)</f>
        <v>220</v>
      </c>
      <c r="J18" s="67"/>
      <c r="K18" s="67">
        <f>SUM(K14:K16)</f>
        <v>481</v>
      </c>
      <c r="L18" s="67">
        <f>SUM(L14:L16)</f>
        <v>444</v>
      </c>
      <c r="M18" s="67"/>
      <c r="N18" s="67">
        <f>SUM(N14:N16)</f>
        <v>753</v>
      </c>
      <c r="O18" s="67">
        <f>SUM(O14:O16)</f>
        <v>665</v>
      </c>
      <c r="P18" s="67"/>
      <c r="Q18" s="67">
        <f>SUM(Q14:Q16)</f>
        <v>0</v>
      </c>
      <c r="R18" s="67">
        <f>SUM(R14:R16)</f>
        <v>886</v>
      </c>
      <c r="S18" s="67">
        <f>SUM(S14:S16)</f>
        <v>773</v>
      </c>
    </row>
    <row r="19" spans="1:22" ht="17.25" x14ac:dyDescent="0.35">
      <c r="A19" s="62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22" s="166" customFormat="1" ht="15.75" hidden="1" x14ac:dyDescent="0.25">
      <c r="A20" s="211" t="s">
        <v>363</v>
      </c>
      <c r="B20" s="460">
        <f t="shared" ref="B20:H20" si="4">B12-B18</f>
        <v>-230</v>
      </c>
      <c r="C20" s="460">
        <f>C12-C18</f>
        <v>67</v>
      </c>
      <c r="D20" s="460">
        <f t="shared" si="4"/>
        <v>88</v>
      </c>
      <c r="E20" s="460">
        <f>E12-E18</f>
        <v>75</v>
      </c>
      <c r="F20" s="460">
        <f t="shared" si="4"/>
        <v>85</v>
      </c>
      <c r="G20" s="460">
        <f t="shared" si="4"/>
        <v>86</v>
      </c>
      <c r="H20" s="460">
        <f t="shared" si="4"/>
        <v>84</v>
      </c>
      <c r="I20" s="460">
        <f>I12-I18</f>
        <v>73</v>
      </c>
      <c r="J20" s="460"/>
      <c r="K20" s="460">
        <f>K12-K18</f>
        <v>163</v>
      </c>
      <c r="L20" s="460">
        <f>L12-L18</f>
        <v>157</v>
      </c>
      <c r="M20" s="460"/>
      <c r="N20" s="460">
        <f>N12-N18</f>
        <v>230</v>
      </c>
      <c r="O20" s="460">
        <f>O12-O18</f>
        <v>243</v>
      </c>
      <c r="P20" s="460"/>
      <c r="Q20" s="460">
        <f>Q12-Q18</f>
        <v>0</v>
      </c>
      <c r="R20" s="460">
        <f>R12-R18</f>
        <v>328</v>
      </c>
      <c r="S20" s="460">
        <f>S12-S18</f>
        <v>328</v>
      </c>
      <c r="T20" s="344"/>
      <c r="U20" s="344"/>
      <c r="V20" s="344"/>
    </row>
    <row r="21" spans="1:22" hidden="1" x14ac:dyDescent="0.2">
      <c r="D21" s="472"/>
    </row>
    <row r="22" spans="1:22" ht="17.25" hidden="1" x14ac:dyDescent="0.35">
      <c r="A22" s="52" t="s">
        <v>364</v>
      </c>
      <c r="B22" s="65">
        <f>Q22-N22</f>
        <v>0</v>
      </c>
      <c r="C22" s="65">
        <f>N22-K22</f>
        <v>0</v>
      </c>
      <c r="D22" s="65">
        <f>K22-E22</f>
        <v>0</v>
      </c>
      <c r="E22" s="65">
        <v>0</v>
      </c>
      <c r="F22" s="65">
        <f>R22-O22</f>
        <v>0</v>
      </c>
      <c r="G22" s="65">
        <f>O22-L22</f>
        <v>0</v>
      </c>
      <c r="H22" s="65">
        <f>L22-I22</f>
        <v>0</v>
      </c>
      <c r="I22" s="65">
        <v>0</v>
      </c>
      <c r="J22" s="65"/>
      <c r="K22" s="65">
        <v>0</v>
      </c>
      <c r="L22" s="65">
        <v>0</v>
      </c>
      <c r="M22" s="65"/>
      <c r="N22" s="65">
        <v>0</v>
      </c>
      <c r="O22" s="65">
        <v>0</v>
      </c>
      <c r="P22" s="65"/>
      <c r="Q22" s="65">
        <v>0</v>
      </c>
      <c r="R22" s="65">
        <v>0</v>
      </c>
      <c r="S22" s="65">
        <v>-5</v>
      </c>
    </row>
    <row r="23" spans="1:22" hidden="1" x14ac:dyDescent="0.2">
      <c r="D23" s="472"/>
    </row>
    <row r="24" spans="1:22" ht="18" x14ac:dyDescent="0.4">
      <c r="A24" s="211" t="s">
        <v>363</v>
      </c>
      <c r="B24" s="461">
        <f>B20+B22</f>
        <v>-230</v>
      </c>
      <c r="C24" s="461">
        <f t="shared" ref="C24:H24" si="5">C20+C22</f>
        <v>67</v>
      </c>
      <c r="D24" s="474">
        <f t="shared" si="5"/>
        <v>88</v>
      </c>
      <c r="E24" s="461">
        <f t="shared" si="5"/>
        <v>75</v>
      </c>
      <c r="F24" s="461">
        <f t="shared" si="5"/>
        <v>85</v>
      </c>
      <c r="G24" s="461">
        <f t="shared" si="5"/>
        <v>86</v>
      </c>
      <c r="H24" s="461">
        <f t="shared" si="5"/>
        <v>84</v>
      </c>
      <c r="I24" s="461">
        <f t="shared" ref="I24" si="6">I20+I22</f>
        <v>73</v>
      </c>
      <c r="K24" s="461">
        <f t="shared" ref="K24:L24" si="7">K20+K22</f>
        <v>163</v>
      </c>
      <c r="L24" s="461">
        <f t="shared" si="7"/>
        <v>157</v>
      </c>
      <c r="N24" s="461">
        <f t="shared" ref="N24:O24" si="8">N20+N22</f>
        <v>230</v>
      </c>
      <c r="O24" s="461">
        <f t="shared" si="8"/>
        <v>243</v>
      </c>
      <c r="Q24" s="461">
        <f t="shared" ref="Q24" si="9">Q20+Q22</f>
        <v>0</v>
      </c>
      <c r="R24" s="461">
        <f t="shared" ref="R24:S24" si="10">R20+R22</f>
        <v>328</v>
      </c>
      <c r="S24" s="461">
        <f t="shared" si="10"/>
        <v>323</v>
      </c>
    </row>
    <row r="25" spans="1:22" x14ac:dyDescent="0.2">
      <c r="D25" s="472"/>
    </row>
    <row r="26" spans="1:22" ht="15.75" thickBot="1" x14ac:dyDescent="0.25">
      <c r="A26" s="480"/>
      <c r="B26" s="480"/>
      <c r="C26" s="480"/>
      <c r="D26" s="481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</row>
    <row r="27" spans="1:22" x14ac:dyDescent="0.2">
      <c r="D27" s="472"/>
    </row>
    <row r="28" spans="1:22" ht="15.75" x14ac:dyDescent="0.25">
      <c r="A28" s="479" t="s">
        <v>372</v>
      </c>
    </row>
    <row r="29" spans="1:22" x14ac:dyDescent="0.2">
      <c r="A29" s="209" t="s">
        <v>365</v>
      </c>
      <c r="B29" s="212">
        <f t="shared" ref="B29:I29" si="11">B31-B30</f>
        <v>-258</v>
      </c>
      <c r="C29" s="212">
        <f t="shared" si="11"/>
        <v>89</v>
      </c>
      <c r="D29" s="212">
        <f t="shared" si="11"/>
        <v>77</v>
      </c>
      <c r="E29" s="212">
        <f t="shared" si="11"/>
        <v>92</v>
      </c>
      <c r="F29" s="212">
        <f t="shared" si="11"/>
        <v>93</v>
      </c>
      <c r="G29" s="212">
        <f t="shared" si="11"/>
        <v>87</v>
      </c>
      <c r="H29" s="212">
        <f t="shared" si="11"/>
        <v>94</v>
      </c>
      <c r="I29" s="212">
        <f t="shared" si="11"/>
        <v>88</v>
      </c>
      <c r="J29" s="212"/>
      <c r="K29" s="212">
        <f>K31-K30</f>
        <v>169</v>
      </c>
      <c r="L29" s="212">
        <f>L31-L30</f>
        <v>182</v>
      </c>
      <c r="M29" s="213"/>
      <c r="N29" s="212">
        <f>N31-N30</f>
        <v>258</v>
      </c>
      <c r="O29" s="212">
        <f>O31-O30</f>
        <v>269</v>
      </c>
      <c r="P29" s="213"/>
      <c r="Q29" s="212">
        <f>Q31-Q30</f>
        <v>0</v>
      </c>
      <c r="R29" s="212">
        <f>R31-R30</f>
        <v>362</v>
      </c>
      <c r="S29" s="212">
        <f>S31-S30</f>
        <v>313</v>
      </c>
    </row>
    <row r="30" spans="1:22" ht="17.25" x14ac:dyDescent="0.35">
      <c r="A30" s="207" t="s">
        <v>374</v>
      </c>
      <c r="B30" s="65">
        <f>Q30-N30</f>
        <v>28</v>
      </c>
      <c r="C30" s="65">
        <f>N30-K30</f>
        <v>-22</v>
      </c>
      <c r="D30" s="65">
        <f>K30-E30</f>
        <v>11</v>
      </c>
      <c r="E30" s="65">
        <v>-17</v>
      </c>
      <c r="F30" s="65">
        <f>R30-O30</f>
        <v>-8</v>
      </c>
      <c r="G30" s="65">
        <f>O30-L30</f>
        <v>-1</v>
      </c>
      <c r="H30" s="65">
        <f>L30-I30</f>
        <v>-10</v>
      </c>
      <c r="I30" s="65">
        <v>-15</v>
      </c>
      <c r="J30" s="65"/>
      <c r="K30" s="65">
        <v>-6</v>
      </c>
      <c r="L30" s="65">
        <v>-25</v>
      </c>
      <c r="M30" s="65"/>
      <c r="N30" s="65">
        <v>-28</v>
      </c>
      <c r="O30" s="65">
        <v>-26</v>
      </c>
      <c r="P30" s="65"/>
      <c r="Q30" s="65">
        <v>0</v>
      </c>
      <c r="R30" s="65">
        <v>-34</v>
      </c>
      <c r="S30" s="65">
        <v>15</v>
      </c>
    </row>
    <row r="31" spans="1:22" ht="18" x14ac:dyDescent="0.4">
      <c r="A31" s="207" t="s">
        <v>363</v>
      </c>
      <c r="B31" s="461">
        <f t="shared" ref="B31:I31" si="12">B20</f>
        <v>-230</v>
      </c>
      <c r="C31" s="461">
        <f t="shared" si="12"/>
        <v>67</v>
      </c>
      <c r="D31" s="461">
        <f t="shared" si="12"/>
        <v>88</v>
      </c>
      <c r="E31" s="461">
        <f t="shared" si="12"/>
        <v>75</v>
      </c>
      <c r="F31" s="461">
        <f t="shared" si="12"/>
        <v>85</v>
      </c>
      <c r="G31" s="461">
        <f t="shared" si="12"/>
        <v>86</v>
      </c>
      <c r="H31" s="461">
        <f t="shared" si="12"/>
        <v>84</v>
      </c>
      <c r="I31" s="461">
        <f t="shared" si="12"/>
        <v>73</v>
      </c>
      <c r="K31" s="461">
        <f>K20</f>
        <v>163</v>
      </c>
      <c r="L31" s="461">
        <f>L20</f>
        <v>157</v>
      </c>
      <c r="N31" s="461">
        <f>N20</f>
        <v>230</v>
      </c>
      <c r="O31" s="461">
        <f>O20</f>
        <v>243</v>
      </c>
      <c r="Q31" s="461">
        <f>Q20</f>
        <v>0</v>
      </c>
      <c r="R31" s="461">
        <f>R20</f>
        <v>328</v>
      </c>
      <c r="S31" s="461">
        <f>S20</f>
        <v>328</v>
      </c>
    </row>
    <row r="32" spans="1:22" x14ac:dyDescent="0.2">
      <c r="D32" s="472"/>
    </row>
    <row r="34" spans="1:1" x14ac:dyDescent="0.2">
      <c r="A34" s="315" t="s">
        <v>373</v>
      </c>
    </row>
    <row r="35" spans="1:1" x14ac:dyDescent="0.2">
      <c r="A35" s="52" t="s">
        <v>396</v>
      </c>
    </row>
    <row r="44" spans="1:1" x14ac:dyDescent="0.2">
      <c r="A44" s="315"/>
    </row>
  </sheetData>
  <sheetProtection password="CBFD" sheet="1" objects="1" scenarios="1"/>
  <pageMargins left="0.7" right="0.7" top="0.75" bottom="0.25" header="0.3" footer="0.05"/>
  <pageSetup scale="74" orientation="landscape" r:id="rId1"/>
  <headerFooter>
    <oddHeader>&amp;R&amp;G</oddHeader>
    <oddFooter>&amp;C12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31"/>
  <sheetViews>
    <sheetView zoomScale="85" zoomScaleNormal="85" workbookViewId="0"/>
  </sheetViews>
  <sheetFormatPr defaultRowHeight="15" x14ac:dyDescent="0.2"/>
  <cols>
    <col min="1" max="1" width="50.77734375" style="52" customWidth="1"/>
    <col min="2" max="2" width="10.88671875" style="52" hidden="1" customWidth="1"/>
    <col min="3" max="4" width="10.88671875" style="52" customWidth="1"/>
    <col min="5" max="7" width="10.77734375" style="52" customWidth="1"/>
    <col min="8" max="9" width="10.77734375" style="52" hidden="1" customWidth="1"/>
    <col min="10" max="10" width="1.77734375" style="52" customWidth="1"/>
    <col min="11" max="12" width="10.88671875" style="52" hidden="1" customWidth="1"/>
    <col min="13" max="13" width="1.77734375" style="52" hidden="1" customWidth="1"/>
    <col min="14" max="15" width="10.88671875" style="52" customWidth="1"/>
    <col min="16" max="16" width="1.77734375" style="52" hidden="1" customWidth="1"/>
    <col min="17" max="17" width="10.88671875" style="52" hidden="1" customWidth="1"/>
    <col min="18" max="19" width="10.77734375" style="52" hidden="1" customWidth="1"/>
    <col min="20" max="16384" width="8.88671875" style="52"/>
  </cols>
  <sheetData>
    <row r="1" spans="1:19" ht="18" x14ac:dyDescent="0.25">
      <c r="A1" s="131" t="str">
        <f>'Cover Page'!$H$10</f>
        <v>American Financial Group, Inc.</v>
      </c>
    </row>
    <row r="2" spans="1:19" ht="18" x14ac:dyDescent="0.25">
      <c r="A2" s="131" t="s">
        <v>367</v>
      </c>
    </row>
    <row r="3" spans="1:19" x14ac:dyDescent="0.2">
      <c r="A3" s="16" t="s">
        <v>14</v>
      </c>
    </row>
    <row r="5" spans="1:19" ht="15.75" x14ac:dyDescent="0.25">
      <c r="A5" s="203"/>
      <c r="B5" s="204" t="s">
        <v>2</v>
      </c>
      <c r="C5" s="204" t="s">
        <v>2</v>
      </c>
      <c r="D5" s="204"/>
      <c r="E5" s="204"/>
      <c r="F5" s="204"/>
      <c r="G5" s="205"/>
      <c r="H5" s="205"/>
      <c r="I5" s="205"/>
      <c r="J5" s="203"/>
      <c r="K5" s="204" t="s">
        <v>6</v>
      </c>
      <c r="L5" s="205"/>
      <c r="M5" s="206"/>
      <c r="N5" s="204" t="s">
        <v>7</v>
      </c>
      <c r="O5" s="205"/>
      <c r="P5" s="203"/>
      <c r="Q5" s="204" t="s">
        <v>3</v>
      </c>
      <c r="R5" s="204" t="s">
        <v>3</v>
      </c>
      <c r="S5" s="233"/>
    </row>
    <row r="6" spans="1:19" ht="20.25" x14ac:dyDescent="0.55000000000000004">
      <c r="A6" s="203"/>
      <c r="B6" s="69" t="s">
        <v>384</v>
      </c>
      <c r="C6" s="69" t="s">
        <v>385</v>
      </c>
      <c r="D6" s="69" t="s">
        <v>386</v>
      </c>
      <c r="E6" s="69" t="s">
        <v>387</v>
      </c>
      <c r="F6" s="69" t="s">
        <v>322</v>
      </c>
      <c r="G6" s="69" t="s">
        <v>323</v>
      </c>
      <c r="H6" s="69" t="s">
        <v>324</v>
      </c>
      <c r="I6" s="69" t="s">
        <v>325</v>
      </c>
      <c r="J6" s="84"/>
      <c r="K6" s="84" t="s">
        <v>386</v>
      </c>
      <c r="L6" s="84" t="s">
        <v>324</v>
      </c>
      <c r="M6" s="84"/>
      <c r="N6" s="84" t="s">
        <v>385</v>
      </c>
      <c r="O6" s="84" t="s">
        <v>323</v>
      </c>
      <c r="P6" s="84"/>
      <c r="Q6" s="84" t="s">
        <v>384</v>
      </c>
      <c r="R6" s="84" t="s">
        <v>322</v>
      </c>
      <c r="S6" s="84" t="s">
        <v>117</v>
      </c>
    </row>
    <row r="7" spans="1:19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208"/>
      <c r="L7" s="208"/>
      <c r="M7" s="62"/>
      <c r="N7" s="208"/>
      <c r="O7" s="208"/>
      <c r="P7" s="62"/>
      <c r="Q7" s="208"/>
      <c r="R7" s="208"/>
      <c r="S7" s="208"/>
    </row>
    <row r="8" spans="1:19" x14ac:dyDescent="0.2">
      <c r="D8" s="472"/>
    </row>
    <row r="9" spans="1:19" ht="15.75" x14ac:dyDescent="0.25">
      <c r="A9" s="166" t="s">
        <v>368</v>
      </c>
      <c r="D9" s="472"/>
    </row>
    <row r="10" spans="1:19" s="215" customFormat="1" ht="18" customHeight="1" x14ac:dyDescent="0.2">
      <c r="A10" s="209" t="s">
        <v>107</v>
      </c>
      <c r="B10" s="66">
        <f t="shared" ref="B10:B16" si="0">Q10-N10</f>
        <v>-394</v>
      </c>
      <c r="C10" s="66">
        <f t="shared" ref="C10:C16" si="1">N10-K10</f>
        <v>135</v>
      </c>
      <c r="D10" s="66">
        <f t="shared" ref="D10:D16" si="2">K10-E10</f>
        <v>131</v>
      </c>
      <c r="E10" s="66">
        <v>128</v>
      </c>
      <c r="F10" s="66">
        <f t="shared" ref="F10:F16" si="3">R10-O10</f>
        <v>127</v>
      </c>
      <c r="G10" s="66">
        <f t="shared" ref="G10:G16" si="4">O10-L10</f>
        <v>126</v>
      </c>
      <c r="H10" s="66">
        <f t="shared" ref="H10:H16" si="5">L10-I10</f>
        <v>123</v>
      </c>
      <c r="I10" s="66">
        <v>121</v>
      </c>
      <c r="J10" s="212"/>
      <c r="K10" s="66">
        <v>259</v>
      </c>
      <c r="L10" s="66">
        <v>244</v>
      </c>
      <c r="M10" s="213"/>
      <c r="N10" s="66">
        <v>394</v>
      </c>
      <c r="O10" s="66">
        <v>370</v>
      </c>
      <c r="P10" s="213"/>
      <c r="Q10" s="66">
        <v>0</v>
      </c>
      <c r="R10" s="66">
        <v>497</v>
      </c>
      <c r="S10" s="66">
        <v>451</v>
      </c>
    </row>
    <row r="11" spans="1:19" s="215" customFormat="1" ht="18" customHeight="1" x14ac:dyDescent="0.35">
      <c r="A11" s="209" t="s">
        <v>258</v>
      </c>
      <c r="B11" s="64">
        <f t="shared" si="0"/>
        <v>-5</v>
      </c>
      <c r="C11" s="64">
        <f t="shared" si="1"/>
        <v>2</v>
      </c>
      <c r="D11" s="64">
        <f t="shared" si="2"/>
        <v>2</v>
      </c>
      <c r="E11" s="64">
        <v>1</v>
      </c>
      <c r="F11" s="64">
        <f t="shared" si="3"/>
        <v>1</v>
      </c>
      <c r="G11" s="64">
        <f t="shared" si="4"/>
        <v>2</v>
      </c>
      <c r="H11" s="64">
        <f t="shared" si="5"/>
        <v>2</v>
      </c>
      <c r="I11" s="64">
        <v>1</v>
      </c>
      <c r="J11" s="65"/>
      <c r="K11" s="64">
        <v>3</v>
      </c>
      <c r="L11" s="64">
        <v>3</v>
      </c>
      <c r="M11" s="63"/>
      <c r="N11" s="64">
        <v>5</v>
      </c>
      <c r="O11" s="64">
        <v>5</v>
      </c>
      <c r="P11" s="63"/>
      <c r="Q11" s="64">
        <v>0</v>
      </c>
      <c r="R11" s="64">
        <v>6</v>
      </c>
      <c r="S11" s="64">
        <v>6</v>
      </c>
    </row>
    <row r="12" spans="1:19" s="215" customFormat="1" ht="18" customHeight="1" x14ac:dyDescent="0.2">
      <c r="A12" s="207" t="s">
        <v>109</v>
      </c>
      <c r="B12" s="64">
        <f t="shared" si="0"/>
        <v>-14</v>
      </c>
      <c r="C12" s="64">
        <f t="shared" si="1"/>
        <v>5</v>
      </c>
      <c r="D12" s="64">
        <f t="shared" si="2"/>
        <v>5</v>
      </c>
      <c r="E12" s="64">
        <v>4</v>
      </c>
      <c r="F12" s="64">
        <f t="shared" si="3"/>
        <v>4</v>
      </c>
      <c r="G12" s="64">
        <f t="shared" si="4"/>
        <v>5</v>
      </c>
      <c r="H12" s="64">
        <f t="shared" si="5"/>
        <v>5</v>
      </c>
      <c r="I12" s="64">
        <v>4</v>
      </c>
      <c r="J12" s="62"/>
      <c r="K12" s="64">
        <v>9</v>
      </c>
      <c r="L12" s="64">
        <v>9</v>
      </c>
      <c r="M12" s="62"/>
      <c r="N12" s="64">
        <v>14</v>
      </c>
      <c r="O12" s="64">
        <v>14</v>
      </c>
      <c r="P12" s="62"/>
      <c r="Q12" s="64">
        <v>0</v>
      </c>
      <c r="R12" s="64">
        <v>18</v>
      </c>
      <c r="S12" s="64">
        <v>19</v>
      </c>
    </row>
    <row r="13" spans="1:19" s="215" customFormat="1" ht="18" customHeight="1" x14ac:dyDescent="0.2">
      <c r="A13" s="207" t="s">
        <v>110</v>
      </c>
      <c r="B13" s="62">
        <f t="shared" si="0"/>
        <v>-20</v>
      </c>
      <c r="C13" s="62">
        <f t="shared" si="1"/>
        <v>6</v>
      </c>
      <c r="D13" s="62">
        <f t="shared" si="2"/>
        <v>7</v>
      </c>
      <c r="E13" s="62">
        <v>7</v>
      </c>
      <c r="F13" s="62">
        <f t="shared" si="3"/>
        <v>6</v>
      </c>
      <c r="G13" s="62">
        <f t="shared" si="4"/>
        <v>7</v>
      </c>
      <c r="H13" s="62">
        <f t="shared" si="5"/>
        <v>6</v>
      </c>
      <c r="I13" s="62">
        <v>7</v>
      </c>
      <c r="J13" s="62"/>
      <c r="K13" s="62">
        <v>14</v>
      </c>
      <c r="L13" s="62">
        <v>13</v>
      </c>
      <c r="M13" s="62"/>
      <c r="N13" s="62">
        <v>20</v>
      </c>
      <c r="O13" s="62">
        <v>20</v>
      </c>
      <c r="P13" s="62"/>
      <c r="Q13" s="62">
        <v>0</v>
      </c>
      <c r="R13" s="62">
        <v>26</v>
      </c>
      <c r="S13" s="62">
        <v>30</v>
      </c>
    </row>
    <row r="14" spans="1:19" s="215" customFormat="1" ht="18" customHeight="1" x14ac:dyDescent="0.2">
      <c r="A14" s="207" t="s">
        <v>232</v>
      </c>
      <c r="B14" s="62">
        <f t="shared" si="0"/>
        <v>-48</v>
      </c>
      <c r="C14" s="62">
        <f t="shared" si="1"/>
        <v>20</v>
      </c>
      <c r="D14" s="62">
        <f t="shared" si="2"/>
        <v>16</v>
      </c>
      <c r="E14" s="62">
        <v>12</v>
      </c>
      <c r="F14" s="62">
        <f t="shared" si="3"/>
        <v>11</v>
      </c>
      <c r="G14" s="62">
        <f t="shared" si="4"/>
        <v>12</v>
      </c>
      <c r="H14" s="62">
        <f t="shared" si="5"/>
        <v>10</v>
      </c>
      <c r="I14" s="62">
        <v>8</v>
      </c>
      <c r="J14" s="62"/>
      <c r="K14" s="62">
        <v>28</v>
      </c>
      <c r="L14" s="62">
        <v>18</v>
      </c>
      <c r="M14" s="62"/>
      <c r="N14" s="62">
        <v>48</v>
      </c>
      <c r="O14" s="62">
        <v>30</v>
      </c>
      <c r="P14" s="62"/>
      <c r="Q14" s="62">
        <v>0</v>
      </c>
      <c r="R14" s="62">
        <v>41</v>
      </c>
      <c r="S14" s="62">
        <v>38</v>
      </c>
    </row>
    <row r="15" spans="1:19" s="215" customFormat="1" ht="18" customHeight="1" x14ac:dyDescent="0.2">
      <c r="A15" s="207" t="s">
        <v>99</v>
      </c>
      <c r="B15" s="62">
        <f t="shared" si="0"/>
        <v>-17</v>
      </c>
      <c r="C15" s="62">
        <f t="shared" si="1"/>
        <v>3</v>
      </c>
      <c r="D15" s="62">
        <f t="shared" si="2"/>
        <v>12</v>
      </c>
      <c r="E15" s="62">
        <v>2</v>
      </c>
      <c r="F15" s="62">
        <f t="shared" si="3"/>
        <v>1</v>
      </c>
      <c r="G15" s="62">
        <f t="shared" si="4"/>
        <v>3</v>
      </c>
      <c r="H15" s="62">
        <f t="shared" si="5"/>
        <v>5</v>
      </c>
      <c r="I15" s="62">
        <v>3</v>
      </c>
      <c r="J15" s="62"/>
      <c r="K15" s="62">
        <v>14</v>
      </c>
      <c r="L15" s="62">
        <v>8</v>
      </c>
      <c r="M15" s="62"/>
      <c r="N15" s="62">
        <v>17</v>
      </c>
      <c r="O15" s="62">
        <v>11</v>
      </c>
      <c r="P15" s="62"/>
      <c r="Q15" s="62">
        <v>0</v>
      </c>
      <c r="R15" s="62">
        <v>12</v>
      </c>
      <c r="S15" s="62">
        <v>7</v>
      </c>
    </row>
    <row r="16" spans="1:19" s="215" customFormat="1" ht="18" customHeight="1" x14ac:dyDescent="0.35">
      <c r="A16" s="207" t="s">
        <v>380</v>
      </c>
      <c r="B16" s="65">
        <f t="shared" si="0"/>
        <v>0</v>
      </c>
      <c r="C16" s="65">
        <f t="shared" si="1"/>
        <v>0</v>
      </c>
      <c r="D16" s="65">
        <f t="shared" si="2"/>
        <v>0</v>
      </c>
      <c r="E16" s="65">
        <v>0</v>
      </c>
      <c r="F16" s="65">
        <f t="shared" si="3"/>
        <v>-11</v>
      </c>
      <c r="G16" s="65">
        <f t="shared" si="4"/>
        <v>0</v>
      </c>
      <c r="H16" s="65">
        <f t="shared" si="5"/>
        <v>0</v>
      </c>
      <c r="I16" s="65">
        <v>0</v>
      </c>
      <c r="J16" s="67"/>
      <c r="K16" s="65">
        <v>0</v>
      </c>
      <c r="L16" s="65">
        <v>0</v>
      </c>
      <c r="M16" s="67"/>
      <c r="N16" s="65">
        <v>0</v>
      </c>
      <c r="O16" s="65">
        <v>0</v>
      </c>
      <c r="P16" s="67"/>
      <c r="Q16" s="67">
        <v>0</v>
      </c>
      <c r="R16" s="67">
        <v>-11</v>
      </c>
      <c r="S16" s="67">
        <v>6</v>
      </c>
    </row>
    <row r="17" spans="1:20" s="215" customFormat="1" ht="18" customHeight="1" x14ac:dyDescent="0.2">
      <c r="A17" s="478" t="s">
        <v>341</v>
      </c>
      <c r="B17" s="64">
        <f t="shared" ref="B17:H17" si="6">SUM(B10:B16)</f>
        <v>-498</v>
      </c>
      <c r="C17" s="64">
        <f t="shared" si="6"/>
        <v>171</v>
      </c>
      <c r="D17" s="64">
        <f t="shared" si="6"/>
        <v>173</v>
      </c>
      <c r="E17" s="64">
        <f t="shared" si="6"/>
        <v>154</v>
      </c>
      <c r="F17" s="64">
        <f t="shared" si="6"/>
        <v>139</v>
      </c>
      <c r="G17" s="64">
        <f t="shared" si="6"/>
        <v>155</v>
      </c>
      <c r="H17" s="64">
        <f t="shared" si="6"/>
        <v>151</v>
      </c>
      <c r="I17" s="64">
        <f t="shared" ref="I17" si="7">SUM(I10:I16)</f>
        <v>144</v>
      </c>
      <c r="J17" s="62"/>
      <c r="K17" s="64">
        <f>SUM(K10:K16)</f>
        <v>327</v>
      </c>
      <c r="L17" s="64">
        <f>SUM(L10:L16)</f>
        <v>295</v>
      </c>
      <c r="M17" s="62"/>
      <c r="N17" s="64">
        <f>SUM(N10:N16)</f>
        <v>498</v>
      </c>
      <c r="O17" s="64">
        <f>SUM(O10:O16)</f>
        <v>450</v>
      </c>
      <c r="P17" s="62"/>
      <c r="Q17" s="64">
        <f>SUM(Q10:Q16)</f>
        <v>0</v>
      </c>
      <c r="R17" s="64">
        <f>SUM(R10:R16)</f>
        <v>589</v>
      </c>
      <c r="S17" s="64">
        <f>SUM(S10:S16)</f>
        <v>557</v>
      </c>
    </row>
    <row r="18" spans="1:20" s="215" customFormat="1" ht="18" customHeight="1" x14ac:dyDescent="0.35">
      <c r="A18" s="207"/>
      <c r="B18" s="65"/>
      <c r="C18" s="65"/>
      <c r="D18" s="65"/>
      <c r="E18" s="65"/>
      <c r="F18" s="65"/>
      <c r="G18" s="65"/>
      <c r="H18" s="65"/>
      <c r="I18" s="65"/>
      <c r="J18" s="67"/>
      <c r="K18" s="65"/>
      <c r="L18" s="65"/>
      <c r="M18" s="67"/>
      <c r="N18" s="65"/>
      <c r="O18" s="65"/>
      <c r="P18" s="67"/>
      <c r="Q18" s="67"/>
      <c r="R18" s="67"/>
      <c r="S18" s="67"/>
    </row>
    <row r="19" spans="1:20" s="215" customFormat="1" ht="18" customHeight="1" x14ac:dyDescent="0.2">
      <c r="A19" s="207" t="s">
        <v>381</v>
      </c>
      <c r="B19" s="64">
        <f>Q19-N19</f>
        <v>99</v>
      </c>
      <c r="C19" s="64">
        <f>N19-K19</f>
        <v>-130</v>
      </c>
      <c r="D19" s="64">
        <f>K19-E19</f>
        <v>-19</v>
      </c>
      <c r="E19" s="64">
        <v>50</v>
      </c>
      <c r="F19" s="64">
        <f>R19-O19</f>
        <v>87</v>
      </c>
      <c r="G19" s="64">
        <f>O19-L19</f>
        <v>21</v>
      </c>
      <c r="H19" s="64">
        <f>L19-I19</f>
        <v>78</v>
      </c>
      <c r="I19" s="64">
        <v>54</v>
      </c>
      <c r="J19" s="64"/>
      <c r="K19" s="64">
        <v>31</v>
      </c>
      <c r="L19" s="64">
        <v>132</v>
      </c>
      <c r="M19" s="62"/>
      <c r="N19" s="64">
        <v>-99</v>
      </c>
      <c r="O19" s="64">
        <v>153</v>
      </c>
      <c r="P19" s="62"/>
      <c r="Q19" s="64">
        <v>0</v>
      </c>
      <c r="R19" s="64">
        <v>240</v>
      </c>
      <c r="S19" s="64">
        <v>184</v>
      </c>
    </row>
    <row r="20" spans="1:20" s="215" customFormat="1" ht="18" customHeight="1" x14ac:dyDescent="0.35">
      <c r="A20" s="207" t="s">
        <v>108</v>
      </c>
      <c r="B20" s="65">
        <f>Q20-N20</f>
        <v>-144</v>
      </c>
      <c r="C20" s="65">
        <f>N20-K20</f>
        <v>167</v>
      </c>
      <c r="D20" s="65">
        <f>K20-E20</f>
        <v>-3</v>
      </c>
      <c r="E20" s="65">
        <v>-20</v>
      </c>
      <c r="F20" s="65">
        <f>R20-O20</f>
        <v>-69</v>
      </c>
      <c r="G20" s="65">
        <f>O20-L20</f>
        <v>-19</v>
      </c>
      <c r="H20" s="65">
        <f>L20-I20</f>
        <v>-63</v>
      </c>
      <c r="I20" s="65">
        <v>-30</v>
      </c>
      <c r="J20" s="62"/>
      <c r="K20" s="65">
        <v>-23</v>
      </c>
      <c r="L20" s="65">
        <v>-93</v>
      </c>
      <c r="M20" s="62"/>
      <c r="N20" s="65">
        <v>144</v>
      </c>
      <c r="O20" s="65">
        <v>-112</v>
      </c>
      <c r="P20" s="62"/>
      <c r="Q20" s="65">
        <v>0</v>
      </c>
      <c r="R20" s="65">
        <v>-181</v>
      </c>
      <c r="S20" s="65">
        <v>-210</v>
      </c>
      <c r="T20" s="464"/>
    </row>
    <row r="21" spans="1:20" s="215" customFormat="1" ht="18" customHeight="1" x14ac:dyDescent="0.35">
      <c r="A21" s="478" t="s">
        <v>375</v>
      </c>
      <c r="B21" s="65">
        <f t="shared" ref="B21:H21" si="8">SUM(B19:B20)</f>
        <v>-45</v>
      </c>
      <c r="C21" s="65">
        <f t="shared" si="8"/>
        <v>37</v>
      </c>
      <c r="D21" s="65">
        <f t="shared" si="8"/>
        <v>-22</v>
      </c>
      <c r="E21" s="65">
        <f t="shared" si="8"/>
        <v>30</v>
      </c>
      <c r="F21" s="65">
        <f t="shared" si="8"/>
        <v>18</v>
      </c>
      <c r="G21" s="65">
        <f t="shared" si="8"/>
        <v>2</v>
      </c>
      <c r="H21" s="65">
        <f t="shared" si="8"/>
        <v>15</v>
      </c>
      <c r="I21" s="65">
        <f t="shared" ref="I21" si="9">SUM(I19:I20)</f>
        <v>24</v>
      </c>
      <c r="J21" s="67"/>
      <c r="K21" s="65">
        <f>SUM(K19:K20)</f>
        <v>8</v>
      </c>
      <c r="L21" s="65">
        <f>SUM(L19:L20)</f>
        <v>39</v>
      </c>
      <c r="M21" s="67"/>
      <c r="N21" s="65">
        <f>SUM(N19:N20)</f>
        <v>45</v>
      </c>
      <c r="O21" s="65">
        <f>SUM(O19:O20)</f>
        <v>41</v>
      </c>
      <c r="P21" s="67"/>
      <c r="Q21" s="65">
        <f>SUM(Q19:Q20)</f>
        <v>0</v>
      </c>
      <c r="R21" s="65">
        <f>SUM(R19:R20)</f>
        <v>59</v>
      </c>
      <c r="S21" s="65">
        <f>SUM(S19:S20)</f>
        <v>-26</v>
      </c>
    </row>
    <row r="22" spans="1:20" s="215" customFormat="1" x14ac:dyDescent="0.2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20" s="258" customFormat="1" ht="18" customHeight="1" x14ac:dyDescent="0.4">
      <c r="A23" s="203" t="s">
        <v>369</v>
      </c>
      <c r="B23" s="214">
        <f t="shared" ref="B23:H23" si="10">B17+B21</f>
        <v>-543</v>
      </c>
      <c r="C23" s="214">
        <f t="shared" si="10"/>
        <v>208</v>
      </c>
      <c r="D23" s="214">
        <f t="shared" si="10"/>
        <v>151</v>
      </c>
      <c r="E23" s="214">
        <f t="shared" si="10"/>
        <v>184</v>
      </c>
      <c r="F23" s="214">
        <f t="shared" si="10"/>
        <v>157</v>
      </c>
      <c r="G23" s="214">
        <f t="shared" si="10"/>
        <v>157</v>
      </c>
      <c r="H23" s="214">
        <f t="shared" si="10"/>
        <v>166</v>
      </c>
      <c r="I23" s="214">
        <f t="shared" ref="I23" si="11">I17+I21</f>
        <v>168</v>
      </c>
      <c r="J23" s="257"/>
      <c r="K23" s="214">
        <f>K17+K21</f>
        <v>335</v>
      </c>
      <c r="L23" s="214">
        <f>L17+L21</f>
        <v>334</v>
      </c>
      <c r="M23" s="257"/>
      <c r="N23" s="214">
        <f>N17+N21</f>
        <v>543</v>
      </c>
      <c r="O23" s="214">
        <f>O17+O21</f>
        <v>491</v>
      </c>
      <c r="P23" s="257"/>
      <c r="Q23" s="214">
        <f>Q17+Q21</f>
        <v>0</v>
      </c>
      <c r="R23" s="214">
        <f>R17+R21</f>
        <v>648</v>
      </c>
      <c r="S23" s="214">
        <f>S17+S21</f>
        <v>531</v>
      </c>
    </row>
    <row r="26" spans="1:20" x14ac:dyDescent="0.2">
      <c r="A26" s="144" t="s">
        <v>382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20" x14ac:dyDescent="0.2">
      <c r="A27" s="144" t="s">
        <v>394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1:20" x14ac:dyDescent="0.2">
      <c r="A28" s="144" t="s">
        <v>395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30" spans="1:20" x14ac:dyDescent="0.2">
      <c r="A30" s="52" t="s">
        <v>403</v>
      </c>
    </row>
    <row r="31" spans="1:20" x14ac:dyDescent="0.2">
      <c r="A31" s="491"/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&amp;C13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S43"/>
  <sheetViews>
    <sheetView zoomScale="85" zoomScaleNormal="85" workbookViewId="0"/>
  </sheetViews>
  <sheetFormatPr defaultRowHeight="15.75" x14ac:dyDescent="0.25"/>
  <cols>
    <col min="1" max="1" width="60" style="142" customWidth="1"/>
    <col min="2" max="2" width="10.88671875" style="142" hidden="1" customWidth="1"/>
    <col min="3" max="4" width="10.88671875" style="142" customWidth="1"/>
    <col min="5" max="7" width="10.77734375" style="142" customWidth="1"/>
    <col min="8" max="9" width="10.77734375" style="142" hidden="1" customWidth="1"/>
    <col min="10" max="10" width="1.77734375" style="142" customWidth="1"/>
    <col min="11" max="12" width="10.77734375" style="142" hidden="1" customWidth="1"/>
    <col min="13" max="13" width="1.77734375" style="142" hidden="1" customWidth="1"/>
    <col min="14" max="15" width="10.88671875" style="142" customWidth="1"/>
    <col min="16" max="16" width="1.77734375" style="142" hidden="1" customWidth="1"/>
    <col min="17" max="17" width="10.88671875" style="142" hidden="1" customWidth="1"/>
    <col min="18" max="19" width="10.77734375" style="142" hidden="1" customWidth="1"/>
    <col min="20" max="16384" width="8.88671875" style="142"/>
  </cols>
  <sheetData>
    <row r="1" spans="1:19" ht="18" x14ac:dyDescent="0.25">
      <c r="A1" s="131" t="str">
        <f>'Cover Page'!$H$10</f>
        <v>American Financial Group, Inc.</v>
      </c>
    </row>
    <row r="2" spans="1:19" ht="18" x14ac:dyDescent="0.25">
      <c r="A2" s="131" t="s">
        <v>119</v>
      </c>
    </row>
    <row r="3" spans="1:19" x14ac:dyDescent="0.25">
      <c r="A3" s="16" t="s">
        <v>14</v>
      </c>
    </row>
    <row r="5" spans="1:19" s="215" customFormat="1" x14ac:dyDescent="0.25">
      <c r="A5" s="203"/>
      <c r="B5" s="204" t="s">
        <v>2</v>
      </c>
      <c r="C5" s="204" t="s">
        <v>2</v>
      </c>
      <c r="D5" s="204"/>
      <c r="E5" s="204"/>
      <c r="F5" s="205"/>
      <c r="G5" s="205"/>
      <c r="H5" s="205"/>
      <c r="I5" s="205"/>
      <c r="J5" s="203"/>
      <c r="K5" s="204" t="s">
        <v>6</v>
      </c>
      <c r="L5" s="205"/>
      <c r="M5" s="206"/>
      <c r="N5" s="204" t="s">
        <v>7</v>
      </c>
      <c r="O5" s="205"/>
      <c r="P5" s="203"/>
      <c r="Q5" s="204" t="s">
        <v>3</v>
      </c>
      <c r="R5" s="204" t="s">
        <v>3</v>
      </c>
      <c r="S5" s="205"/>
    </row>
    <row r="6" spans="1:19" ht="20.25" x14ac:dyDescent="0.55000000000000004">
      <c r="A6" s="203"/>
      <c r="B6" s="69" t="s">
        <v>384</v>
      </c>
      <c r="C6" s="69" t="s">
        <v>385</v>
      </c>
      <c r="D6" s="69" t="s">
        <v>386</v>
      </c>
      <c r="E6" s="69" t="s">
        <v>387</v>
      </c>
      <c r="F6" s="69" t="s">
        <v>322</v>
      </c>
      <c r="G6" s="69" t="s">
        <v>323</v>
      </c>
      <c r="H6" s="69" t="s">
        <v>324</v>
      </c>
      <c r="I6" s="69" t="s">
        <v>325</v>
      </c>
      <c r="J6" s="84"/>
      <c r="K6" s="84" t="s">
        <v>386</v>
      </c>
      <c r="L6" s="84" t="s">
        <v>324</v>
      </c>
      <c r="M6" s="84"/>
      <c r="N6" s="84" t="s">
        <v>385</v>
      </c>
      <c r="O6" s="84" t="s">
        <v>323</v>
      </c>
      <c r="P6" s="84"/>
      <c r="Q6" s="84" t="s">
        <v>384</v>
      </c>
      <c r="R6" s="84" t="s">
        <v>322</v>
      </c>
      <c r="S6" s="84" t="s">
        <v>117</v>
      </c>
    </row>
    <row r="7" spans="1:19" s="215" customFormat="1" ht="15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208"/>
      <c r="L7" s="208"/>
      <c r="M7" s="62"/>
      <c r="N7" s="208"/>
      <c r="O7" s="208"/>
      <c r="P7" s="62"/>
      <c r="Q7" s="208"/>
      <c r="R7" s="208"/>
      <c r="S7" s="208"/>
    </row>
    <row r="8" spans="1:19" s="215" customFormat="1" ht="18" customHeight="1" x14ac:dyDescent="0.2">
      <c r="A8" s="209" t="s">
        <v>263</v>
      </c>
      <c r="B8" s="66">
        <v>0</v>
      </c>
      <c r="C8" s="66">
        <v>25642</v>
      </c>
      <c r="D8" s="66">
        <v>24711</v>
      </c>
      <c r="E8" s="66">
        <v>23943</v>
      </c>
      <c r="F8" s="66">
        <v>23334</v>
      </c>
      <c r="G8" s="66">
        <v>22730</v>
      </c>
      <c r="H8" s="66">
        <v>22098</v>
      </c>
      <c r="I8" s="66">
        <v>21402</v>
      </c>
      <c r="J8" s="66"/>
      <c r="K8" s="66">
        <v>24327</v>
      </c>
      <c r="L8" s="66">
        <v>21750</v>
      </c>
      <c r="M8" s="218"/>
      <c r="N8" s="66">
        <v>24765</v>
      </c>
      <c r="O8" s="66">
        <v>22077</v>
      </c>
      <c r="P8" s="218"/>
      <c r="Q8" s="66">
        <v>0</v>
      </c>
      <c r="R8" s="66">
        <v>22391</v>
      </c>
      <c r="S8" s="66">
        <v>19151</v>
      </c>
    </row>
    <row r="9" spans="1:19" s="215" customFormat="1" ht="18" customHeight="1" x14ac:dyDescent="0.35">
      <c r="A9" s="209" t="s">
        <v>103</v>
      </c>
      <c r="B9" s="394">
        <v>0</v>
      </c>
      <c r="C9" s="394">
        <v>25316</v>
      </c>
      <c r="D9" s="394">
        <v>24474</v>
      </c>
      <c r="E9" s="394">
        <v>23752</v>
      </c>
      <c r="F9" s="394">
        <v>23104</v>
      </c>
      <c r="G9" s="394">
        <v>22475</v>
      </c>
      <c r="H9" s="394">
        <v>21829</v>
      </c>
      <c r="I9" s="394">
        <v>21066</v>
      </c>
      <c r="J9" s="395"/>
      <c r="K9" s="394">
        <v>24113</v>
      </c>
      <c r="L9" s="394">
        <v>21448</v>
      </c>
      <c r="M9" s="396"/>
      <c r="N9" s="394">
        <v>24514</v>
      </c>
      <c r="O9" s="394">
        <v>21790</v>
      </c>
      <c r="P9" s="396"/>
      <c r="Q9" s="394">
        <v>0</v>
      </c>
      <c r="R9" s="394">
        <v>22119</v>
      </c>
      <c r="S9" s="394">
        <v>18696</v>
      </c>
    </row>
    <row r="10" spans="1:19" s="215" customFormat="1" ht="18" customHeight="1" x14ac:dyDescent="0.35">
      <c r="A10" s="207" t="s">
        <v>269</v>
      </c>
      <c r="B10" s="397">
        <f t="shared" ref="B10:D10" si="0">B8-B9</f>
        <v>0</v>
      </c>
      <c r="C10" s="397">
        <f t="shared" si="0"/>
        <v>326</v>
      </c>
      <c r="D10" s="397">
        <f t="shared" si="0"/>
        <v>237</v>
      </c>
      <c r="E10" s="397">
        <f>E8-E9</f>
        <v>191</v>
      </c>
      <c r="F10" s="397">
        <f t="shared" ref="F10:H10" si="1">F8-F9</f>
        <v>230</v>
      </c>
      <c r="G10" s="397">
        <f t="shared" si="1"/>
        <v>255</v>
      </c>
      <c r="H10" s="397">
        <f t="shared" si="1"/>
        <v>269</v>
      </c>
      <c r="I10" s="397">
        <f>I8-I9</f>
        <v>336</v>
      </c>
      <c r="J10" s="397"/>
      <c r="K10" s="397">
        <f>K8-K9</f>
        <v>214</v>
      </c>
      <c r="L10" s="397">
        <f>L8-L9</f>
        <v>302</v>
      </c>
      <c r="M10" s="398"/>
      <c r="N10" s="397">
        <f>N8-N9</f>
        <v>251</v>
      </c>
      <c r="O10" s="397">
        <f>O8-O9</f>
        <v>287</v>
      </c>
      <c r="P10" s="398"/>
      <c r="Q10" s="397">
        <f>Q8-Q9</f>
        <v>0</v>
      </c>
      <c r="R10" s="397">
        <f>R8-R9</f>
        <v>272</v>
      </c>
      <c r="S10" s="397">
        <f>S8-S9</f>
        <v>455</v>
      </c>
    </row>
    <row r="11" spans="1:19" s="215" customFormat="1" ht="18" customHeight="1" x14ac:dyDescent="0.2">
      <c r="A11" s="6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2"/>
      <c r="N11" s="64"/>
      <c r="O11" s="64"/>
      <c r="P11" s="62"/>
      <c r="Q11" s="64"/>
      <c r="R11" s="64"/>
      <c r="S11" s="64"/>
    </row>
    <row r="12" spans="1:19" s="215" customFormat="1" ht="18" customHeight="1" x14ac:dyDescent="0.2">
      <c r="A12" s="216" t="s">
        <v>264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19" s="215" customFormat="1" ht="18" customHeight="1" x14ac:dyDescent="0.2">
      <c r="A13" s="421" t="s">
        <v>104</v>
      </c>
      <c r="B13" s="219">
        <v>0</v>
      </c>
      <c r="C13" s="219">
        <v>4.9200000000000001E-2</v>
      </c>
      <c r="D13" s="219">
        <v>4.9099999999999998E-2</v>
      </c>
      <c r="E13" s="219">
        <v>4.8300000000000003E-2</v>
      </c>
      <c r="F13" s="219">
        <v>4.8500000000000001E-2</v>
      </c>
      <c r="G13" s="219">
        <v>5.0099999999999999E-2</v>
      </c>
      <c r="H13" s="219">
        <v>5.1799999999999999E-2</v>
      </c>
      <c r="I13" s="219">
        <v>5.0999999999999997E-2</v>
      </c>
      <c r="J13" s="220"/>
      <c r="K13" s="219">
        <v>4.87E-2</v>
      </c>
      <c r="L13" s="219">
        <v>5.1400000000000001E-2</v>
      </c>
      <c r="M13" s="220"/>
      <c r="N13" s="219">
        <v>4.8899999999999999E-2</v>
      </c>
      <c r="O13" s="219">
        <v>5.0900000000000001E-2</v>
      </c>
      <c r="P13" s="220"/>
      <c r="Q13" s="219">
        <v>0</v>
      </c>
      <c r="R13" s="219">
        <v>5.0299999999999997E-2</v>
      </c>
      <c r="S13" s="219">
        <v>5.3499999999999999E-2</v>
      </c>
    </row>
    <row r="14" spans="1:19" s="215" customFormat="1" ht="18" customHeight="1" x14ac:dyDescent="0.35">
      <c r="A14" s="421" t="s">
        <v>159</v>
      </c>
      <c r="B14" s="221">
        <v>0</v>
      </c>
      <c r="C14" s="221">
        <v>-2.12E-2</v>
      </c>
      <c r="D14" s="221">
        <v>-2.1399999999999999E-2</v>
      </c>
      <c r="E14" s="221">
        <v>-2.1600000000000001E-2</v>
      </c>
      <c r="F14" s="221">
        <v>-2.2100000000000002E-2</v>
      </c>
      <c r="G14" s="221">
        <v>-2.24E-2</v>
      </c>
      <c r="H14" s="221">
        <v>-2.2599999999999999E-2</v>
      </c>
      <c r="I14" s="221">
        <v>-2.29E-2</v>
      </c>
      <c r="J14" s="222"/>
      <c r="K14" s="221">
        <v>-2.1499999999999998E-2</v>
      </c>
      <c r="L14" s="221">
        <v>-2.2700000000000001E-2</v>
      </c>
      <c r="M14" s="220"/>
      <c r="N14" s="221">
        <v>-2.1399999999999999E-2</v>
      </c>
      <c r="O14" s="221">
        <v>-2.2599999999999999E-2</v>
      </c>
      <c r="P14" s="220"/>
      <c r="Q14" s="221">
        <v>0</v>
      </c>
      <c r="R14" s="221">
        <v>-2.2499999999999999E-2</v>
      </c>
      <c r="S14" s="221">
        <v>-2.41E-2</v>
      </c>
    </row>
    <row r="15" spans="1:19" s="215" customFormat="1" x14ac:dyDescent="0.25">
      <c r="A15" s="422" t="s">
        <v>221</v>
      </c>
      <c r="B15" s="224">
        <f t="shared" ref="B15:E15" si="2">SUM(B13:B14)</f>
        <v>0</v>
      </c>
      <c r="C15" s="224">
        <f t="shared" si="2"/>
        <v>2.8000000000000001E-2</v>
      </c>
      <c r="D15" s="224">
        <f t="shared" si="2"/>
        <v>2.7699999999999999E-2</v>
      </c>
      <c r="E15" s="224">
        <f t="shared" si="2"/>
        <v>2.6700000000000002E-2</v>
      </c>
      <c r="F15" s="224">
        <f t="shared" ref="F15:I15" si="3">SUM(F13:F14)</f>
        <v>2.64E-2</v>
      </c>
      <c r="G15" s="224">
        <f t="shared" si="3"/>
        <v>2.7699999999999999E-2</v>
      </c>
      <c r="H15" s="224">
        <f t="shared" si="3"/>
        <v>2.92E-2</v>
      </c>
      <c r="I15" s="224">
        <f t="shared" si="3"/>
        <v>2.8099999999999997E-2</v>
      </c>
      <c r="J15" s="224"/>
      <c r="K15" s="224">
        <f>SUM(K13:K14)</f>
        <v>2.7200000000000002E-2</v>
      </c>
      <c r="L15" s="224">
        <f>SUM(L13:L14)</f>
        <v>2.87E-2</v>
      </c>
      <c r="M15" s="225"/>
      <c r="N15" s="224">
        <f>SUM(N13:N14)</f>
        <v>2.75E-2</v>
      </c>
      <c r="O15" s="224">
        <f>SUM(O13:O14)</f>
        <v>2.8300000000000002E-2</v>
      </c>
      <c r="P15" s="225"/>
      <c r="Q15" s="224">
        <f>SUM(Q13:Q14)</f>
        <v>0</v>
      </c>
      <c r="R15" s="224">
        <f>SUM(R13:R14)</f>
        <v>2.7799999999999998E-2</v>
      </c>
      <c r="S15" s="224">
        <f>SUM(S13:S14)</f>
        <v>2.9399999999999999E-2</v>
      </c>
    </row>
    <row r="16" spans="1:19" s="215" customFormat="1" ht="18" customHeight="1" x14ac:dyDescent="0.2">
      <c r="A16" s="62"/>
      <c r="B16" s="165"/>
      <c r="C16" s="165"/>
      <c r="D16" s="165"/>
      <c r="E16" s="219"/>
      <c r="F16" s="219"/>
      <c r="G16" s="219"/>
      <c r="H16" s="219"/>
      <c r="I16" s="219"/>
      <c r="J16" s="220"/>
      <c r="K16" s="219"/>
      <c r="L16" s="219"/>
      <c r="M16" s="220"/>
      <c r="N16" s="219"/>
      <c r="O16" s="219"/>
      <c r="P16" s="220"/>
      <c r="Q16" s="219"/>
      <c r="R16" s="219"/>
      <c r="S16" s="219"/>
    </row>
    <row r="17" spans="1:19" s="215" customFormat="1" ht="18" customHeight="1" x14ac:dyDescent="0.2">
      <c r="A17" s="421" t="s">
        <v>198</v>
      </c>
      <c r="B17" s="219">
        <v>0</v>
      </c>
      <c r="C17" s="219">
        <v>1.1999999999999999E-3</v>
      </c>
      <c r="D17" s="219">
        <v>1.2999999999999999E-3</v>
      </c>
      <c r="E17" s="219">
        <v>2E-3</v>
      </c>
      <c r="F17" s="219">
        <v>1.4E-3</v>
      </c>
      <c r="G17" s="219">
        <v>1.4E-3</v>
      </c>
      <c r="H17" s="219">
        <v>1.4E-3</v>
      </c>
      <c r="I17" s="219">
        <v>1.2999999999999999E-3</v>
      </c>
      <c r="J17" s="220"/>
      <c r="K17" s="219">
        <v>1.6000000000000001E-3</v>
      </c>
      <c r="L17" s="219">
        <v>1.4E-3</v>
      </c>
      <c r="M17" s="220"/>
      <c r="N17" s="219">
        <v>1.5E-3</v>
      </c>
      <c r="O17" s="219">
        <v>1.2999999999999999E-3</v>
      </c>
      <c r="P17" s="220"/>
      <c r="Q17" s="219">
        <v>0</v>
      </c>
      <c r="R17" s="219">
        <v>1.4E-3</v>
      </c>
      <c r="S17" s="219">
        <v>1.6000000000000001E-3</v>
      </c>
    </row>
    <row r="18" spans="1:19" s="215" customFormat="1" ht="18" customHeight="1" x14ac:dyDescent="0.2">
      <c r="A18" s="421" t="s">
        <v>105</v>
      </c>
      <c r="B18" s="219">
        <v>0</v>
      </c>
      <c r="C18" s="219">
        <v>-3.5999999999999999E-3</v>
      </c>
      <c r="D18" s="219">
        <v>-4.8999999999999998E-3</v>
      </c>
      <c r="E18" s="219">
        <v>-2.5000000000000001E-3</v>
      </c>
      <c r="F18" s="219">
        <v>-2E-3</v>
      </c>
      <c r="G18" s="219">
        <v>-3.3E-3</v>
      </c>
      <c r="H18" s="219">
        <v>-3.3E-3</v>
      </c>
      <c r="I18" s="219">
        <v>-2.7000000000000001E-3</v>
      </c>
      <c r="J18" s="220"/>
      <c r="K18" s="219">
        <v>-3.7000000000000002E-3</v>
      </c>
      <c r="L18" s="219">
        <v>-2.8999999999999998E-3</v>
      </c>
      <c r="M18" s="220"/>
      <c r="N18" s="219">
        <v>-3.5999999999999999E-3</v>
      </c>
      <c r="O18" s="219">
        <v>-3.0000000000000001E-3</v>
      </c>
      <c r="P18" s="220"/>
      <c r="Q18" s="219">
        <v>0</v>
      </c>
      <c r="R18" s="219">
        <v>-2.8E-3</v>
      </c>
      <c r="S18" s="219">
        <v>-3.7000000000000002E-3</v>
      </c>
    </row>
    <row r="19" spans="1:19" s="215" customFormat="1" ht="18" customHeight="1" x14ac:dyDescent="0.2">
      <c r="A19" s="421" t="s">
        <v>265</v>
      </c>
      <c r="B19" s="219">
        <v>0</v>
      </c>
      <c r="C19" s="219">
        <v>-6.1000000000000004E-3</v>
      </c>
      <c r="D19" s="219">
        <v>-9.4000000000000004E-3</v>
      </c>
      <c r="E19" s="219">
        <v>-5.4999999999999997E-3</v>
      </c>
      <c r="F19" s="219">
        <v>-6.1000000000000004E-3</v>
      </c>
      <c r="G19" s="219">
        <v>-6.8999999999999999E-3</v>
      </c>
      <c r="H19" s="219">
        <v>-6.4000000000000003E-3</v>
      </c>
      <c r="I19" s="219">
        <v>-5.4999999999999997E-3</v>
      </c>
      <c r="J19" s="220"/>
      <c r="K19" s="219">
        <v>-7.4999999999999997E-3</v>
      </c>
      <c r="L19" s="219">
        <v>-6.0000000000000001E-3</v>
      </c>
      <c r="M19" s="220"/>
      <c r="N19" s="219">
        <v>-7.0000000000000001E-3</v>
      </c>
      <c r="O19" s="219">
        <v>-6.3E-3</v>
      </c>
      <c r="P19" s="220"/>
      <c r="Q19" s="219">
        <v>0</v>
      </c>
      <c r="R19" s="219">
        <v>-6.3E-3</v>
      </c>
      <c r="S19" s="219">
        <v>-7.9000000000000008E-3</v>
      </c>
    </row>
    <row r="20" spans="1:19" s="215" customFormat="1" ht="18" customHeight="1" x14ac:dyDescent="0.2">
      <c r="A20" s="421" t="s">
        <v>266</v>
      </c>
      <c r="B20" s="219">
        <v>0</v>
      </c>
      <c r="C20" s="219">
        <v>-3.3999999999999998E-3</v>
      </c>
      <c r="D20" s="219">
        <v>-4.3E-3</v>
      </c>
      <c r="E20" s="219">
        <v>-3.5999999999999999E-3</v>
      </c>
      <c r="F20" s="219">
        <v>-2.8E-3</v>
      </c>
      <c r="G20" s="219">
        <v>-3.7000000000000002E-3</v>
      </c>
      <c r="H20" s="219">
        <v>-3.5999999999999999E-3</v>
      </c>
      <c r="I20" s="219">
        <v>-3.7000000000000002E-3</v>
      </c>
      <c r="J20" s="220"/>
      <c r="K20" s="219">
        <v>-3.8999999999999998E-3</v>
      </c>
      <c r="L20" s="219">
        <v>-3.7000000000000002E-3</v>
      </c>
      <c r="M20" s="220"/>
      <c r="N20" s="219">
        <v>-3.8E-3</v>
      </c>
      <c r="O20" s="219">
        <v>-3.7000000000000002E-3</v>
      </c>
      <c r="P20" s="220"/>
      <c r="Q20" s="219">
        <v>0</v>
      </c>
      <c r="R20" s="219">
        <v>-3.3999999999999998E-3</v>
      </c>
      <c r="S20" s="219">
        <v>-4.5999999999999999E-3</v>
      </c>
    </row>
    <row r="21" spans="1:19" s="215" customFormat="1" ht="18" customHeight="1" x14ac:dyDescent="0.2">
      <c r="A21" s="421" t="s">
        <v>106</v>
      </c>
      <c r="B21" s="219">
        <v>0</v>
      </c>
      <c r="C21" s="219">
        <v>-5.8999999999999999E-3</v>
      </c>
      <c r="D21" s="219">
        <v>3.5000000000000001E-3</v>
      </c>
      <c r="E21" s="219">
        <v>-5.0000000000000001E-3</v>
      </c>
      <c r="F21" s="219">
        <v>-3.0999999999999999E-3</v>
      </c>
      <c r="G21" s="219">
        <v>-4.0000000000000002E-4</v>
      </c>
      <c r="H21" s="219">
        <v>-2.7000000000000001E-3</v>
      </c>
      <c r="I21" s="219">
        <v>-4.4999999999999997E-3</v>
      </c>
      <c r="J21" s="220"/>
      <c r="K21" s="219">
        <v>-6.9999999999999999E-4</v>
      </c>
      <c r="L21" s="219">
        <v>-3.7000000000000002E-3</v>
      </c>
      <c r="M21" s="220"/>
      <c r="N21" s="219">
        <v>-2.5000000000000001E-3</v>
      </c>
      <c r="O21" s="219">
        <v>-2.5000000000000001E-3</v>
      </c>
      <c r="P21" s="220"/>
      <c r="Q21" s="219">
        <v>0</v>
      </c>
      <c r="R21" s="219">
        <v>-2.7000000000000001E-3</v>
      </c>
      <c r="S21" s="219">
        <v>1.2999999999999999E-3</v>
      </c>
    </row>
    <row r="22" spans="1:19" s="215" customFormat="1" ht="18" customHeight="1" x14ac:dyDescent="0.2">
      <c r="A22" s="421" t="s">
        <v>100</v>
      </c>
      <c r="B22" s="221">
        <v>0</v>
      </c>
      <c r="C22" s="221">
        <v>0</v>
      </c>
      <c r="D22" s="221">
        <v>0</v>
      </c>
      <c r="E22" s="221">
        <v>0</v>
      </c>
      <c r="F22" s="221">
        <v>2.0000000000000001E-4</v>
      </c>
      <c r="G22" s="221">
        <v>0</v>
      </c>
      <c r="H22" s="221">
        <v>0</v>
      </c>
      <c r="I22" s="221">
        <v>0</v>
      </c>
      <c r="J22" s="220"/>
      <c r="K22" s="221">
        <v>0</v>
      </c>
      <c r="L22" s="221">
        <v>0</v>
      </c>
      <c r="M22" s="220"/>
      <c r="N22" s="221">
        <v>0</v>
      </c>
      <c r="O22" s="221">
        <v>0</v>
      </c>
      <c r="P22" s="220"/>
      <c r="Q22" s="221">
        <v>0</v>
      </c>
      <c r="R22" s="221">
        <v>1E-4</v>
      </c>
      <c r="S22" s="221">
        <v>-1E-4</v>
      </c>
    </row>
    <row r="23" spans="1:19" s="215" customFormat="1" x14ac:dyDescent="0.25">
      <c r="A23" s="422" t="s">
        <v>370</v>
      </c>
      <c r="B23" s="223">
        <f t="shared" ref="B23:E23" si="4">SUM(B15:B22)</f>
        <v>0</v>
      </c>
      <c r="C23" s="223">
        <f t="shared" si="4"/>
        <v>1.0200000000000001E-2</v>
      </c>
      <c r="D23" s="223">
        <f>SUM(D15:D22)</f>
        <v>1.3899999999999996E-2</v>
      </c>
      <c r="E23" s="223">
        <f t="shared" si="4"/>
        <v>1.2100000000000003E-2</v>
      </c>
      <c r="F23" s="223">
        <f t="shared" ref="F23:G23" si="5">SUM(F15:F22)</f>
        <v>1.3999999999999995E-2</v>
      </c>
      <c r="G23" s="223">
        <f t="shared" si="5"/>
        <v>1.4799999999999997E-2</v>
      </c>
      <c r="H23" s="223">
        <f>SUM(H15:H22)</f>
        <v>1.4599999999999998E-2</v>
      </c>
      <c r="I23" s="223">
        <f t="shared" ref="I23" si="6">SUM(I15:I22)</f>
        <v>1.2999999999999994E-2</v>
      </c>
      <c r="J23" s="225"/>
      <c r="K23" s="223">
        <f>SUM(K15:K22)</f>
        <v>1.3000000000000005E-2</v>
      </c>
      <c r="L23" s="223">
        <f>SUM(L15:L22)</f>
        <v>1.3799999999999995E-2</v>
      </c>
      <c r="M23" s="225"/>
      <c r="N23" s="223">
        <f>SUM(N15:N22)</f>
        <v>1.2100000000000003E-2</v>
      </c>
      <c r="O23" s="223">
        <f>SUM(O15:O22)</f>
        <v>1.4100000000000003E-2</v>
      </c>
      <c r="P23" s="225"/>
      <c r="Q23" s="223">
        <f>SUM(Q15:Q22)</f>
        <v>0</v>
      </c>
      <c r="R23" s="223">
        <f>SUM(R15:R22)</f>
        <v>1.4099999999999994E-2</v>
      </c>
      <c r="S23" s="223">
        <f>SUM(S15:S22)</f>
        <v>1.5999999999999997E-2</v>
      </c>
    </row>
    <row r="24" spans="1:19" s="215" customFormat="1" ht="18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s="215" customFormat="1" ht="18" customHeight="1" x14ac:dyDescent="0.2">
      <c r="A25" s="209" t="s">
        <v>103</v>
      </c>
      <c r="B25" s="66">
        <f t="shared" ref="B25:I25" si="7">B9</f>
        <v>0</v>
      </c>
      <c r="C25" s="66">
        <f t="shared" si="7"/>
        <v>25316</v>
      </c>
      <c r="D25" s="66">
        <f t="shared" si="7"/>
        <v>24474</v>
      </c>
      <c r="E25" s="66">
        <f t="shared" si="7"/>
        <v>23752</v>
      </c>
      <c r="F25" s="66">
        <f t="shared" si="7"/>
        <v>23104</v>
      </c>
      <c r="G25" s="66">
        <f t="shared" si="7"/>
        <v>22475</v>
      </c>
      <c r="H25" s="66">
        <f t="shared" si="7"/>
        <v>21829</v>
      </c>
      <c r="I25" s="66">
        <f t="shared" si="7"/>
        <v>21066</v>
      </c>
      <c r="J25" s="66"/>
      <c r="K25" s="66">
        <f>K9</f>
        <v>24113</v>
      </c>
      <c r="L25" s="66">
        <f>L9</f>
        <v>21448</v>
      </c>
      <c r="M25" s="218"/>
      <c r="N25" s="66">
        <f>N9</f>
        <v>24514</v>
      </c>
      <c r="O25" s="66">
        <f>O9</f>
        <v>21790</v>
      </c>
      <c r="P25" s="218"/>
      <c r="Q25" s="66">
        <f>Q9</f>
        <v>0</v>
      </c>
      <c r="R25" s="66">
        <f>R9</f>
        <v>22119</v>
      </c>
      <c r="S25" s="66">
        <f>S9</f>
        <v>18696</v>
      </c>
    </row>
    <row r="26" spans="1:19" x14ac:dyDescent="0.25">
      <c r="A26" s="62" t="s">
        <v>112</v>
      </c>
      <c r="B26" s="221">
        <f t="shared" ref="B26:I26" si="8">B23</f>
        <v>0</v>
      </c>
      <c r="C26" s="221">
        <f t="shared" si="8"/>
        <v>1.0200000000000001E-2</v>
      </c>
      <c r="D26" s="221">
        <f t="shared" si="8"/>
        <v>1.3899999999999996E-2</v>
      </c>
      <c r="E26" s="221">
        <f t="shared" si="8"/>
        <v>1.2100000000000003E-2</v>
      </c>
      <c r="F26" s="221">
        <f t="shared" si="8"/>
        <v>1.3999999999999995E-2</v>
      </c>
      <c r="G26" s="221">
        <f t="shared" si="8"/>
        <v>1.4799999999999997E-2</v>
      </c>
      <c r="H26" s="221">
        <f t="shared" si="8"/>
        <v>1.4599999999999998E-2</v>
      </c>
      <c r="I26" s="221">
        <f t="shared" si="8"/>
        <v>1.2999999999999994E-2</v>
      </c>
      <c r="J26" s="220"/>
      <c r="K26" s="221">
        <f>K23</f>
        <v>1.3000000000000005E-2</v>
      </c>
      <c r="L26" s="221">
        <f>L23</f>
        <v>1.3799999999999995E-2</v>
      </c>
      <c r="M26" s="220"/>
      <c r="N26" s="221">
        <f>N23</f>
        <v>1.2100000000000003E-2</v>
      </c>
      <c r="O26" s="221">
        <f>O23</f>
        <v>1.4100000000000003E-2</v>
      </c>
      <c r="P26" s="221">
        <f>P15</f>
        <v>0</v>
      </c>
      <c r="Q26" s="221">
        <f>Q23</f>
        <v>0</v>
      </c>
      <c r="R26" s="221">
        <f>R23</f>
        <v>1.4099999999999994E-2</v>
      </c>
      <c r="S26" s="221">
        <f>S23</f>
        <v>1.5999999999999997E-2</v>
      </c>
    </row>
    <row r="27" spans="1:19" s="258" customFormat="1" ht="18" customHeight="1" x14ac:dyDescent="0.25">
      <c r="A27" s="258" t="s">
        <v>157</v>
      </c>
      <c r="B27" s="399">
        <f>ROUND((B25*B26)/4,0)</f>
        <v>0</v>
      </c>
      <c r="C27" s="399">
        <f>ROUND((C25*C26)/4,0)</f>
        <v>65</v>
      </c>
      <c r="D27" s="399">
        <f t="shared" ref="D27:H27" si="9">ROUND((D25*D26)/4,0)</f>
        <v>85</v>
      </c>
      <c r="E27" s="399">
        <f t="shared" si="9"/>
        <v>72</v>
      </c>
      <c r="F27" s="399">
        <f t="shared" si="9"/>
        <v>81</v>
      </c>
      <c r="G27" s="399">
        <f>ROUND((G25*G26)/4,0)</f>
        <v>83</v>
      </c>
      <c r="H27" s="399">
        <f t="shared" si="9"/>
        <v>80</v>
      </c>
      <c r="I27" s="399">
        <f>ROUND((I25*I26)/4,0)</f>
        <v>68</v>
      </c>
      <c r="J27" s="399"/>
      <c r="K27" s="399">
        <f>ROUND((K25*K26)/2,0)</f>
        <v>157</v>
      </c>
      <c r="L27" s="399">
        <f>ROUND((L25*L26)/2,0)</f>
        <v>148</v>
      </c>
      <c r="M27" s="400"/>
      <c r="N27" s="399">
        <f>ROUND((N25*N26)/4*3,0)</f>
        <v>222</v>
      </c>
      <c r="O27" s="399">
        <f>ROUNDUP((O25*O26)/4*3,0)</f>
        <v>231</v>
      </c>
      <c r="P27" s="400"/>
      <c r="Q27" s="399">
        <f>ROUND((Q25*Q26),0)</f>
        <v>0</v>
      </c>
      <c r="R27" s="399">
        <f>ROUNDUP((R25*R26),0)</f>
        <v>312</v>
      </c>
      <c r="S27" s="399">
        <f>ROUNDUP((S25*S26),0)</f>
        <v>300</v>
      </c>
    </row>
    <row r="28" spans="1:19" x14ac:dyDescent="0.25">
      <c r="A28" s="64"/>
      <c r="D28" s="473"/>
    </row>
    <row r="29" spans="1:19" s="215" customFormat="1" ht="18" customHeight="1" x14ac:dyDescent="0.2">
      <c r="A29" s="207" t="s">
        <v>269</v>
      </c>
      <c r="B29" s="66">
        <f t="shared" ref="B29:I29" si="10">B10</f>
        <v>0</v>
      </c>
      <c r="C29" s="66">
        <f t="shared" si="10"/>
        <v>326</v>
      </c>
      <c r="D29" s="66">
        <f t="shared" si="10"/>
        <v>237</v>
      </c>
      <c r="E29" s="66">
        <f t="shared" si="10"/>
        <v>191</v>
      </c>
      <c r="F29" s="66">
        <f t="shared" si="10"/>
        <v>230</v>
      </c>
      <c r="G29" s="66">
        <f t="shared" si="10"/>
        <v>255</v>
      </c>
      <c r="H29" s="66">
        <f t="shared" si="10"/>
        <v>269</v>
      </c>
      <c r="I29" s="66">
        <f t="shared" si="10"/>
        <v>336</v>
      </c>
      <c r="J29" s="66"/>
      <c r="K29" s="66">
        <f>K10</f>
        <v>214</v>
      </c>
      <c r="L29" s="66">
        <f>L10</f>
        <v>302</v>
      </c>
      <c r="M29" s="218"/>
      <c r="N29" s="66">
        <f>N10</f>
        <v>251</v>
      </c>
      <c r="O29" s="66">
        <f>O10</f>
        <v>287</v>
      </c>
      <c r="P29" s="218"/>
      <c r="Q29" s="66">
        <f>Q10</f>
        <v>0</v>
      </c>
      <c r="R29" s="66">
        <f>R10</f>
        <v>272</v>
      </c>
      <c r="S29" s="66">
        <f>S10</f>
        <v>455</v>
      </c>
    </row>
    <row r="30" spans="1:19" x14ac:dyDescent="0.25">
      <c r="A30" s="62" t="s">
        <v>104</v>
      </c>
      <c r="B30" s="221">
        <f t="shared" ref="B30:I30" si="11">B13</f>
        <v>0</v>
      </c>
      <c r="C30" s="221">
        <f t="shared" si="11"/>
        <v>4.9200000000000001E-2</v>
      </c>
      <c r="D30" s="221">
        <f t="shared" si="11"/>
        <v>4.9099999999999998E-2</v>
      </c>
      <c r="E30" s="221">
        <f t="shared" si="11"/>
        <v>4.8300000000000003E-2</v>
      </c>
      <c r="F30" s="221">
        <f t="shared" si="11"/>
        <v>4.8500000000000001E-2</v>
      </c>
      <c r="G30" s="221">
        <f t="shared" si="11"/>
        <v>5.0099999999999999E-2</v>
      </c>
      <c r="H30" s="221">
        <f t="shared" si="11"/>
        <v>5.1799999999999999E-2</v>
      </c>
      <c r="I30" s="221">
        <f t="shared" si="11"/>
        <v>5.0999999999999997E-2</v>
      </c>
      <c r="J30" s="220"/>
      <c r="K30" s="221">
        <f>K13</f>
        <v>4.87E-2</v>
      </c>
      <c r="L30" s="221">
        <f>L13</f>
        <v>5.1400000000000001E-2</v>
      </c>
      <c r="M30" s="220"/>
      <c r="N30" s="221">
        <f>N13</f>
        <v>4.8899999999999999E-2</v>
      </c>
      <c r="O30" s="221">
        <f>O13</f>
        <v>5.0900000000000001E-2</v>
      </c>
      <c r="P30" s="221">
        <f>P18</f>
        <v>0</v>
      </c>
      <c r="Q30" s="221">
        <f>Q13</f>
        <v>0</v>
      </c>
      <c r="R30" s="221">
        <f>R13</f>
        <v>5.0299999999999997E-2</v>
      </c>
      <c r="S30" s="221">
        <f>S13</f>
        <v>5.3499999999999999E-2</v>
      </c>
    </row>
    <row r="31" spans="1:19" s="258" customFormat="1" ht="18" customHeight="1" x14ac:dyDescent="0.25">
      <c r="A31" s="258" t="s">
        <v>310</v>
      </c>
      <c r="B31" s="399">
        <f>ROUND((B29*B30)/4,0)</f>
        <v>0</v>
      </c>
      <c r="C31" s="399">
        <f t="shared" ref="C31:H31" si="12">ROUND((C29*C30)/4,0)</f>
        <v>4</v>
      </c>
      <c r="D31" s="399">
        <f t="shared" si="12"/>
        <v>3</v>
      </c>
      <c r="E31" s="399">
        <f>ROUND((E29*E30)/4,0)</f>
        <v>2</v>
      </c>
      <c r="F31" s="399">
        <f t="shared" si="12"/>
        <v>3</v>
      </c>
      <c r="G31" s="399">
        <f t="shared" si="12"/>
        <v>3</v>
      </c>
      <c r="H31" s="399">
        <f t="shared" si="12"/>
        <v>3</v>
      </c>
      <c r="I31" s="399">
        <f>ROUNDUP((I29*I30)/4,0)</f>
        <v>5</v>
      </c>
      <c r="J31" s="399"/>
      <c r="K31" s="399">
        <f>ROUND((K29*K30)/2,0)</f>
        <v>5</v>
      </c>
      <c r="L31" s="399">
        <f>ROUND((L29*L30)/2,0)</f>
        <v>8</v>
      </c>
      <c r="M31" s="400"/>
      <c r="N31" s="399">
        <f>ROUND((N29*N30)/4*3,0)</f>
        <v>9</v>
      </c>
      <c r="O31" s="399">
        <f>ROUNDUP((O29*O30)/4*3,0)</f>
        <v>11</v>
      </c>
      <c r="P31" s="400"/>
      <c r="Q31" s="399">
        <f>ROUND((Q29*Q30),0)</f>
        <v>0</v>
      </c>
      <c r="R31" s="206">
        <f>ROUND((R29*R30),0)</f>
        <v>14</v>
      </c>
      <c r="S31" s="206">
        <f>ROUNDDOWN((S29*S30),0)</f>
        <v>24</v>
      </c>
    </row>
    <row r="32" spans="1:19" x14ac:dyDescent="0.25">
      <c r="A32" s="64"/>
    </row>
    <row r="33" spans="1:19" s="155" customFormat="1" ht="20.25" x14ac:dyDescent="0.55000000000000004">
      <c r="A33" s="206" t="s">
        <v>158</v>
      </c>
      <c r="B33" s="402">
        <f>Q33-N33</f>
        <v>1</v>
      </c>
      <c r="C33" s="402">
        <f>N33-K33</f>
        <v>-2</v>
      </c>
      <c r="D33" s="402">
        <f>K33-E33</f>
        <v>0</v>
      </c>
      <c r="E33" s="402">
        <v>1</v>
      </c>
      <c r="F33" s="402">
        <f>R33-O33</f>
        <v>1</v>
      </c>
      <c r="G33" s="402">
        <f>O33-L33</f>
        <v>0</v>
      </c>
      <c r="H33" s="402">
        <f>L33-I33</f>
        <v>1</v>
      </c>
      <c r="I33" s="402">
        <v>0</v>
      </c>
      <c r="J33" s="402"/>
      <c r="K33" s="402">
        <v>1</v>
      </c>
      <c r="L33" s="402">
        <v>1</v>
      </c>
      <c r="M33" s="402"/>
      <c r="N33" s="402">
        <v>-1</v>
      </c>
      <c r="O33" s="402">
        <v>1</v>
      </c>
      <c r="P33" s="402"/>
      <c r="Q33" s="402">
        <v>0</v>
      </c>
      <c r="R33" s="402">
        <v>2</v>
      </c>
      <c r="S33" s="402">
        <v>4</v>
      </c>
    </row>
    <row r="34" spans="1:19" ht="18" x14ac:dyDescent="0.4">
      <c r="A34" s="206" t="s">
        <v>311</v>
      </c>
      <c r="B34" s="401">
        <f>B27+B31+B33</f>
        <v>1</v>
      </c>
      <c r="C34" s="401">
        <f t="shared" ref="C34:I34" si="13">C27+C31+C33</f>
        <v>67</v>
      </c>
      <c r="D34" s="401">
        <f t="shared" si="13"/>
        <v>88</v>
      </c>
      <c r="E34" s="401">
        <f t="shared" si="13"/>
        <v>75</v>
      </c>
      <c r="F34" s="401">
        <f t="shared" si="13"/>
        <v>85</v>
      </c>
      <c r="G34" s="401">
        <f t="shared" si="13"/>
        <v>86</v>
      </c>
      <c r="H34" s="401">
        <f t="shared" si="13"/>
        <v>84</v>
      </c>
      <c r="I34" s="401">
        <f t="shared" si="13"/>
        <v>73</v>
      </c>
      <c r="J34" s="401"/>
      <c r="K34" s="401">
        <f>K27+K31+K33</f>
        <v>163</v>
      </c>
      <c r="L34" s="401">
        <f>L27+L31+L33</f>
        <v>157</v>
      </c>
      <c r="M34" s="155"/>
      <c r="N34" s="401">
        <f>N27+N31+N33</f>
        <v>230</v>
      </c>
      <c r="O34" s="401">
        <f>O27+O31+O33</f>
        <v>243</v>
      </c>
      <c r="P34" s="155"/>
      <c r="Q34" s="401">
        <f>Q27+Q31+Q33</f>
        <v>0</v>
      </c>
      <c r="R34" s="401">
        <f>R27+R31+R33</f>
        <v>328</v>
      </c>
      <c r="S34" s="401">
        <f>S27+S31+S33</f>
        <v>328</v>
      </c>
    </row>
    <row r="35" spans="1:19" ht="16.5" thickBot="1" x14ac:dyDescent="0.3">
      <c r="A35" s="482"/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</row>
    <row r="37" spans="1:19" x14ac:dyDescent="0.25">
      <c r="A37" s="479" t="s">
        <v>371</v>
      </c>
    </row>
    <row r="38" spans="1:19" x14ac:dyDescent="0.25">
      <c r="A38" s="421" t="s">
        <v>340</v>
      </c>
      <c r="B38" s="219">
        <f>B40-B39</f>
        <v>0</v>
      </c>
      <c r="C38" s="219">
        <f t="shared" ref="C38:D38" si="14">C40-C39</f>
        <v>1.37E-2</v>
      </c>
      <c r="D38" s="219">
        <f t="shared" si="14"/>
        <v>1.2099999999999996E-2</v>
      </c>
      <c r="E38" s="219">
        <f>E40-E39</f>
        <v>1.4900000000000004E-2</v>
      </c>
      <c r="F38" s="219">
        <f>F40-F39</f>
        <v>1.5399999999999995E-2</v>
      </c>
      <c r="G38" s="219">
        <f t="shared" ref="G38:H38" si="15">G40-G39</f>
        <v>1.4999999999999998E-2</v>
      </c>
      <c r="H38" s="219">
        <f t="shared" si="15"/>
        <v>1.6399999999999998E-2</v>
      </c>
      <c r="I38" s="219">
        <f>I40-I39</f>
        <v>1.5799999999999995E-2</v>
      </c>
      <c r="K38" s="219">
        <f>K40-K39</f>
        <v>1.3500000000000005E-2</v>
      </c>
      <c r="L38" s="219">
        <f>L40-L39</f>
        <v>1.6099999999999996E-2</v>
      </c>
      <c r="N38" s="219">
        <f>N40-N39</f>
        <v>1.3600000000000003E-2</v>
      </c>
      <c r="O38" s="219">
        <f>O40-O39</f>
        <v>1.5700000000000002E-2</v>
      </c>
      <c r="Q38" s="219">
        <f>Q40-Q39</f>
        <v>0</v>
      </c>
      <c r="R38" s="219">
        <f>R40-R39</f>
        <v>1.5599999999999994E-2</v>
      </c>
      <c r="S38" s="219">
        <f>S40-S39</f>
        <v>1.5199999999999997E-2</v>
      </c>
    </row>
    <row r="39" spans="1:19" x14ac:dyDescent="0.25">
      <c r="A39" s="421" t="s">
        <v>374</v>
      </c>
      <c r="B39" s="221">
        <v>0</v>
      </c>
      <c r="C39" s="221">
        <v>-3.5000000000000001E-3</v>
      </c>
      <c r="D39" s="221">
        <v>1.8E-3</v>
      </c>
      <c r="E39" s="221">
        <v>-2.8E-3</v>
      </c>
      <c r="F39" s="221">
        <v>-1.4E-3</v>
      </c>
      <c r="G39" s="221">
        <v>-2.0000000000000001E-4</v>
      </c>
      <c r="H39" s="221">
        <v>-1.8E-3</v>
      </c>
      <c r="I39" s="221">
        <v>-2.8E-3</v>
      </c>
      <c r="K39" s="221">
        <v>-5.0000000000000001E-4</v>
      </c>
      <c r="L39" s="221">
        <v>-2.3E-3</v>
      </c>
      <c r="N39" s="221">
        <v>-1.5E-3</v>
      </c>
      <c r="O39" s="221">
        <v>-1.6000000000000001E-3</v>
      </c>
      <c r="Q39" s="221">
        <v>0</v>
      </c>
      <c r="R39" s="221">
        <v>-1.5E-3</v>
      </c>
      <c r="S39" s="221">
        <v>8.0000000000000004E-4</v>
      </c>
    </row>
    <row r="40" spans="1:19" x14ac:dyDescent="0.25">
      <c r="A40" s="421" t="s">
        <v>356</v>
      </c>
      <c r="B40" s="223">
        <f>B23</f>
        <v>0</v>
      </c>
      <c r="C40" s="223">
        <f t="shared" ref="C40:D40" si="16">C23</f>
        <v>1.0200000000000001E-2</v>
      </c>
      <c r="D40" s="223">
        <f t="shared" si="16"/>
        <v>1.3899999999999996E-2</v>
      </c>
      <c r="E40" s="223">
        <f>E23</f>
        <v>1.2100000000000003E-2</v>
      </c>
      <c r="F40" s="223">
        <f>F23</f>
        <v>1.3999999999999995E-2</v>
      </c>
      <c r="G40" s="223">
        <f t="shared" ref="G40:I40" si="17">G23</f>
        <v>1.4799999999999997E-2</v>
      </c>
      <c r="H40" s="223">
        <f t="shared" si="17"/>
        <v>1.4599999999999998E-2</v>
      </c>
      <c r="I40" s="223">
        <f t="shared" si="17"/>
        <v>1.2999999999999994E-2</v>
      </c>
      <c r="K40" s="223">
        <f>K23</f>
        <v>1.3000000000000005E-2</v>
      </c>
      <c r="L40" s="223">
        <f>L23</f>
        <v>1.3799999999999995E-2</v>
      </c>
      <c r="N40" s="223">
        <f>N23</f>
        <v>1.2100000000000003E-2</v>
      </c>
      <c r="O40" s="223">
        <f>O23</f>
        <v>1.4100000000000003E-2</v>
      </c>
      <c r="Q40" s="223">
        <f>Q23</f>
        <v>0</v>
      </c>
      <c r="R40" s="223">
        <f>R23</f>
        <v>1.4099999999999994E-2</v>
      </c>
      <c r="S40" s="223">
        <f>S23</f>
        <v>1.5999999999999997E-2</v>
      </c>
    </row>
    <row r="42" spans="1:19" x14ac:dyDescent="0.25">
      <c r="A42" s="421"/>
      <c r="C42" s="223"/>
      <c r="D42" s="223"/>
      <c r="E42" s="223"/>
      <c r="F42" s="223"/>
      <c r="G42" s="223"/>
      <c r="N42" s="223"/>
      <c r="O42" s="223"/>
    </row>
    <row r="43" spans="1:19" x14ac:dyDescent="0.25">
      <c r="A43" s="315" t="s">
        <v>373</v>
      </c>
    </row>
  </sheetData>
  <sheetProtection password="CBFD" sheet="1" objects="1" scenarios="1"/>
  <pageMargins left="0.7" right="0.7" top="0.75" bottom="0.25" header="0.3" footer="0.05"/>
  <pageSetup scale="74" orientation="landscape" r:id="rId1"/>
  <headerFooter>
    <oddHeader>&amp;R&amp;G</oddHeader>
    <oddFooter>&amp;C14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C69"/>
  <sheetViews>
    <sheetView zoomScale="85" zoomScaleNormal="85" workbookViewId="0"/>
  </sheetViews>
  <sheetFormatPr defaultColWidth="6.21875" defaultRowHeight="15.75" customHeight="1" x14ac:dyDescent="0.2"/>
  <cols>
    <col min="1" max="1" width="50.77734375" style="235" customWidth="1"/>
    <col min="2" max="2" width="10.88671875" style="235" hidden="1" customWidth="1"/>
    <col min="3" max="4" width="10.88671875" style="235" customWidth="1"/>
    <col min="5" max="7" width="10.77734375" style="235" customWidth="1"/>
    <col min="8" max="9" width="10.77734375" style="235" hidden="1" customWidth="1"/>
    <col min="10" max="10" width="1.77734375" style="235" customWidth="1"/>
    <col min="11" max="12" width="10.88671875" style="234" hidden="1" customWidth="1"/>
    <col min="13" max="13" width="1.77734375" style="234" hidden="1" customWidth="1"/>
    <col min="14" max="15" width="10.88671875" style="234" customWidth="1"/>
    <col min="16" max="16" width="1.77734375" style="234" hidden="1" customWidth="1"/>
    <col min="17" max="17" width="10.88671875" style="234" hidden="1" customWidth="1"/>
    <col min="18" max="19" width="10.77734375" style="234" hidden="1" customWidth="1"/>
    <col min="20" max="25" width="6.21875" style="235"/>
    <col min="26" max="16384" width="6.21875" style="236"/>
  </cols>
  <sheetData>
    <row r="1" spans="1:29" s="231" customFormat="1" ht="15.75" customHeight="1" x14ac:dyDescent="0.25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8"/>
      <c r="N1" s="227"/>
      <c r="O1" s="227"/>
      <c r="P1" s="228"/>
      <c r="Q1" s="228"/>
      <c r="R1" s="228"/>
      <c r="S1" s="228"/>
      <c r="T1" s="229"/>
      <c r="U1" s="229"/>
      <c r="V1" s="229"/>
      <c r="W1" s="230"/>
      <c r="X1" s="230"/>
      <c r="Y1" s="230"/>
    </row>
    <row r="2" spans="1:29" s="231" customFormat="1" ht="15.75" customHeight="1" x14ac:dyDescent="0.25">
      <c r="A2" s="226" t="s">
        <v>134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  <c r="N2" s="227"/>
      <c r="O2" s="227"/>
      <c r="P2" s="228"/>
      <c r="Q2" s="228"/>
      <c r="R2" s="228"/>
      <c r="S2" s="228"/>
      <c r="T2" s="229"/>
      <c r="U2" s="229"/>
      <c r="V2" s="229"/>
      <c r="W2" s="230"/>
      <c r="X2" s="230"/>
      <c r="Y2" s="230"/>
    </row>
    <row r="3" spans="1:29" s="231" customFormat="1" ht="15.75" customHeight="1" x14ac:dyDescent="0.25">
      <c r="A3" s="153" t="s">
        <v>14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8"/>
      <c r="N3" s="227"/>
      <c r="O3" s="227"/>
      <c r="P3" s="228"/>
      <c r="Q3" s="228"/>
      <c r="R3" s="228"/>
      <c r="S3" s="228"/>
      <c r="T3" s="229"/>
      <c r="U3" s="229"/>
      <c r="V3" s="229"/>
      <c r="W3" s="230"/>
      <c r="X3" s="230"/>
      <c r="Y3" s="230"/>
    </row>
    <row r="4" spans="1:29" s="231" customFormat="1" ht="15.75" customHeight="1" x14ac:dyDescent="0.2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  <c r="N4" s="227"/>
      <c r="O4" s="227"/>
      <c r="P4" s="228"/>
      <c r="Q4" s="228"/>
      <c r="R4" s="228"/>
      <c r="S4" s="228"/>
      <c r="T4" s="229"/>
      <c r="U4" s="229"/>
      <c r="V4" s="229"/>
      <c r="W4" s="230"/>
      <c r="X4" s="230"/>
      <c r="Y4" s="230"/>
    </row>
    <row r="5" spans="1:29" ht="15.75" customHeight="1" x14ac:dyDescent="0.25">
      <c r="A5" s="18"/>
      <c r="B5" s="145" t="s">
        <v>2</v>
      </c>
      <c r="C5" s="145" t="s">
        <v>2</v>
      </c>
      <c r="D5" s="145"/>
      <c r="E5" s="145"/>
      <c r="F5" s="146"/>
      <c r="G5" s="146"/>
      <c r="H5" s="146"/>
      <c r="I5" s="146"/>
      <c r="J5" s="18"/>
      <c r="K5" s="146" t="s">
        <v>20</v>
      </c>
      <c r="L5" s="146"/>
      <c r="M5" s="232"/>
      <c r="N5" s="146" t="s">
        <v>19</v>
      </c>
      <c r="O5" s="146"/>
      <c r="P5" s="232"/>
      <c r="Q5" s="146" t="s">
        <v>3</v>
      </c>
      <c r="R5" s="146" t="s">
        <v>3</v>
      </c>
      <c r="S5" s="233"/>
      <c r="T5" s="234"/>
      <c r="U5" s="234"/>
      <c r="V5" s="234"/>
      <c r="W5" s="234"/>
    </row>
    <row r="6" spans="1:29" s="142" customFormat="1" ht="20.25" x14ac:dyDescent="0.55000000000000004">
      <c r="A6" s="203"/>
      <c r="B6" s="69" t="s">
        <v>384</v>
      </c>
      <c r="C6" s="69" t="s">
        <v>385</v>
      </c>
      <c r="D6" s="69" t="s">
        <v>386</v>
      </c>
      <c r="E6" s="69" t="s">
        <v>387</v>
      </c>
      <c r="F6" s="69" t="s">
        <v>322</v>
      </c>
      <c r="G6" s="69" t="s">
        <v>323</v>
      </c>
      <c r="H6" s="69" t="s">
        <v>324</v>
      </c>
      <c r="I6" s="69" t="s">
        <v>325</v>
      </c>
      <c r="J6" s="84"/>
      <c r="K6" s="84" t="s">
        <v>386</v>
      </c>
      <c r="L6" s="84" t="s">
        <v>324</v>
      </c>
      <c r="M6" s="84"/>
      <c r="N6" s="84" t="s">
        <v>385</v>
      </c>
      <c r="O6" s="84" t="s">
        <v>323</v>
      </c>
      <c r="P6" s="84"/>
      <c r="Q6" s="84" t="s">
        <v>384</v>
      </c>
      <c r="R6" s="84" t="s">
        <v>322</v>
      </c>
      <c r="S6" s="84" t="s">
        <v>117</v>
      </c>
    </row>
    <row r="7" spans="1:29" ht="15.7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237"/>
      <c r="L7" s="237"/>
      <c r="M7" s="232"/>
      <c r="N7" s="237"/>
      <c r="O7" s="237"/>
      <c r="P7" s="232"/>
      <c r="Q7" s="237"/>
      <c r="R7" s="237"/>
      <c r="S7" s="237"/>
      <c r="T7" s="234"/>
      <c r="U7" s="234"/>
      <c r="V7" s="234"/>
      <c r="W7" s="234"/>
    </row>
    <row r="8" spans="1:29" ht="15" x14ac:dyDescent="0.2">
      <c r="A8" s="209" t="s">
        <v>248</v>
      </c>
      <c r="B8" s="44">
        <f>Q8-N8</f>
        <v>-1370</v>
      </c>
      <c r="C8" s="44">
        <f>N8-K8</f>
        <v>617</v>
      </c>
      <c r="D8" s="44">
        <f>K8-E8</f>
        <v>404</v>
      </c>
      <c r="E8" s="44">
        <v>349</v>
      </c>
      <c r="F8" s="44">
        <f>R8-O8</f>
        <v>405</v>
      </c>
      <c r="G8" s="44">
        <f>O8-L8</f>
        <v>339</v>
      </c>
      <c r="H8" s="44">
        <f>L8-I8</f>
        <v>403</v>
      </c>
      <c r="I8" s="44">
        <v>386</v>
      </c>
      <c r="J8" s="251"/>
      <c r="K8" s="44">
        <v>753</v>
      </c>
      <c r="L8" s="44">
        <v>789</v>
      </c>
      <c r="M8" s="252"/>
      <c r="N8" s="44">
        <v>1370</v>
      </c>
      <c r="O8" s="44">
        <v>1128</v>
      </c>
      <c r="P8" s="252"/>
      <c r="Q8" s="44">
        <v>0</v>
      </c>
      <c r="R8" s="44">
        <v>1533</v>
      </c>
      <c r="S8" s="44">
        <v>1879</v>
      </c>
      <c r="T8" s="234"/>
      <c r="U8" s="239"/>
      <c r="V8" s="234"/>
      <c r="W8" s="234"/>
    </row>
    <row r="9" spans="1:29" ht="15" x14ac:dyDescent="0.2">
      <c r="A9" s="207" t="s">
        <v>249</v>
      </c>
      <c r="B9" s="96">
        <f>Q9-N9</f>
        <v>-52</v>
      </c>
      <c r="C9" s="96">
        <f>N9-K9</f>
        <v>22</v>
      </c>
      <c r="D9" s="96">
        <f>K9-E9</f>
        <v>18</v>
      </c>
      <c r="E9" s="96">
        <v>12</v>
      </c>
      <c r="F9" s="96">
        <f>R9-O9</f>
        <v>19</v>
      </c>
      <c r="G9" s="96">
        <f>O9-L9</f>
        <v>18</v>
      </c>
      <c r="H9" s="96">
        <f>L9-I9</f>
        <v>25</v>
      </c>
      <c r="I9" s="96">
        <v>39</v>
      </c>
      <c r="J9" s="238"/>
      <c r="K9" s="96">
        <v>30</v>
      </c>
      <c r="L9" s="96">
        <v>64</v>
      </c>
      <c r="M9" s="18"/>
      <c r="N9" s="96">
        <v>52</v>
      </c>
      <c r="O9" s="96">
        <v>82</v>
      </c>
      <c r="P9" s="18"/>
      <c r="Q9" s="96">
        <v>0</v>
      </c>
      <c r="R9" s="96">
        <v>101</v>
      </c>
      <c r="S9" s="96">
        <v>165</v>
      </c>
      <c r="T9" s="234"/>
      <c r="U9" s="239"/>
      <c r="V9" s="234"/>
      <c r="W9" s="234"/>
    </row>
    <row r="10" spans="1:29" ht="15" x14ac:dyDescent="0.2">
      <c r="A10" s="207" t="s">
        <v>250</v>
      </c>
      <c r="B10" s="96">
        <f>Q10-N10</f>
        <v>-1279</v>
      </c>
      <c r="C10" s="96">
        <f>N10-K10</f>
        <v>554</v>
      </c>
      <c r="D10" s="96">
        <f>K10-E10</f>
        <v>369</v>
      </c>
      <c r="E10" s="96">
        <v>356</v>
      </c>
      <c r="F10" s="96">
        <f>R10-O10</f>
        <v>426</v>
      </c>
      <c r="G10" s="96">
        <f>O10-L10</f>
        <v>333</v>
      </c>
      <c r="H10" s="96">
        <f>L10-I10</f>
        <v>364</v>
      </c>
      <c r="I10" s="96">
        <v>366</v>
      </c>
      <c r="J10" s="238"/>
      <c r="K10" s="96">
        <v>725</v>
      </c>
      <c r="L10" s="96">
        <v>730</v>
      </c>
      <c r="M10" s="18"/>
      <c r="N10" s="96">
        <v>1279</v>
      </c>
      <c r="O10" s="96">
        <v>1063</v>
      </c>
      <c r="P10" s="18"/>
      <c r="Q10" s="96">
        <v>0</v>
      </c>
      <c r="R10" s="96">
        <v>1489</v>
      </c>
      <c r="S10" s="96">
        <v>1102</v>
      </c>
      <c r="T10" s="234"/>
      <c r="U10" s="239"/>
      <c r="V10" s="234"/>
      <c r="W10" s="234"/>
    </row>
    <row r="11" spans="1:29" ht="15" x14ac:dyDescent="0.2">
      <c r="A11" s="217" t="s">
        <v>251</v>
      </c>
      <c r="B11" s="96">
        <f>Q11-N11</f>
        <v>-157</v>
      </c>
      <c r="C11" s="96">
        <f>N11-K11</f>
        <v>71</v>
      </c>
      <c r="D11" s="96">
        <f>K11-E11</f>
        <v>48</v>
      </c>
      <c r="E11" s="96">
        <v>38</v>
      </c>
      <c r="F11" s="96">
        <f>R11-O11</f>
        <v>61</v>
      </c>
      <c r="G11" s="96">
        <f>O11-L11</f>
        <v>62</v>
      </c>
      <c r="H11" s="96">
        <f>L11-I11</f>
        <v>95</v>
      </c>
      <c r="I11" s="96">
        <v>114</v>
      </c>
      <c r="J11" s="238"/>
      <c r="K11" s="96">
        <v>86</v>
      </c>
      <c r="L11" s="96">
        <v>209</v>
      </c>
      <c r="M11" s="18"/>
      <c r="N11" s="96">
        <v>157</v>
      </c>
      <c r="O11" s="96">
        <v>271</v>
      </c>
      <c r="P11" s="18"/>
      <c r="Q11" s="96">
        <v>0</v>
      </c>
      <c r="R11" s="96">
        <v>332</v>
      </c>
      <c r="S11" s="96">
        <v>628</v>
      </c>
      <c r="T11" s="234"/>
      <c r="U11" s="239"/>
      <c r="V11" s="234"/>
      <c r="W11" s="234"/>
    </row>
    <row r="12" spans="1:29" ht="17.25" x14ac:dyDescent="0.35">
      <c r="A12" s="207" t="s">
        <v>383</v>
      </c>
      <c r="B12" s="99">
        <f>Q12-N12</f>
        <v>-143</v>
      </c>
      <c r="C12" s="99">
        <f>N12-K12</f>
        <v>47</v>
      </c>
      <c r="D12" s="99">
        <f>K12-E12</f>
        <v>49</v>
      </c>
      <c r="E12" s="99">
        <v>47</v>
      </c>
      <c r="F12" s="99">
        <f>R12-O12</f>
        <v>49</v>
      </c>
      <c r="G12" s="99">
        <f>O12-L12</f>
        <v>46</v>
      </c>
      <c r="H12" s="99">
        <f>L12-I12</f>
        <v>49</v>
      </c>
      <c r="I12" s="99">
        <v>50</v>
      </c>
      <c r="J12" s="238"/>
      <c r="K12" s="99">
        <v>96</v>
      </c>
      <c r="L12" s="99">
        <v>99</v>
      </c>
      <c r="M12" s="18"/>
      <c r="N12" s="99">
        <v>143</v>
      </c>
      <c r="O12" s="99">
        <v>145</v>
      </c>
      <c r="P12" s="18"/>
      <c r="Q12" s="99">
        <v>0</v>
      </c>
      <c r="R12" s="99">
        <v>194</v>
      </c>
      <c r="S12" s="99">
        <v>207</v>
      </c>
      <c r="T12" s="234"/>
      <c r="U12" s="239"/>
      <c r="V12" s="234"/>
      <c r="W12" s="234"/>
    </row>
    <row r="13" spans="1:29" s="250" customFormat="1" x14ac:dyDescent="0.25">
      <c r="A13" s="359" t="s">
        <v>102</v>
      </c>
      <c r="B13" s="151">
        <f t="shared" ref="B13:H13" si="0">SUM(B8:B12)</f>
        <v>-3001</v>
      </c>
      <c r="C13" s="151">
        <f t="shared" si="0"/>
        <v>1311</v>
      </c>
      <c r="D13" s="151">
        <f t="shared" si="0"/>
        <v>888</v>
      </c>
      <c r="E13" s="151">
        <f t="shared" si="0"/>
        <v>802</v>
      </c>
      <c r="F13" s="151">
        <f t="shared" si="0"/>
        <v>960</v>
      </c>
      <c r="G13" s="151">
        <f t="shared" si="0"/>
        <v>798</v>
      </c>
      <c r="H13" s="151">
        <f t="shared" si="0"/>
        <v>936</v>
      </c>
      <c r="I13" s="151">
        <f t="shared" ref="I13" si="1">SUM(I8:I12)</f>
        <v>955</v>
      </c>
      <c r="J13" s="359"/>
      <c r="K13" s="151">
        <f>SUM(K8:K12)</f>
        <v>1690</v>
      </c>
      <c r="L13" s="151">
        <f>SUM(L8:L12)</f>
        <v>1891</v>
      </c>
      <c r="M13" s="21"/>
      <c r="N13" s="151">
        <f>SUM(N8:N12)</f>
        <v>3001</v>
      </c>
      <c r="O13" s="151">
        <f>SUM(O8:O12)</f>
        <v>2689</v>
      </c>
      <c r="P13" s="21"/>
      <c r="Q13" s="151">
        <f>SUM(Q8:Q12)</f>
        <v>0</v>
      </c>
      <c r="R13" s="151">
        <f>SUM(R8:R12)</f>
        <v>3649</v>
      </c>
      <c r="S13" s="151">
        <f>SUM(S8:S12)</f>
        <v>3981</v>
      </c>
      <c r="T13" s="360"/>
      <c r="U13" s="361"/>
      <c r="V13" s="360"/>
      <c r="W13" s="360"/>
      <c r="X13" s="245"/>
      <c r="Y13" s="245"/>
    </row>
    <row r="14" spans="1:29" s="250" customFormat="1" x14ac:dyDescent="0.25">
      <c r="A14" s="358"/>
      <c r="B14" s="151"/>
      <c r="C14" s="151"/>
      <c r="D14" s="151"/>
      <c r="E14" s="151"/>
      <c r="F14" s="151"/>
      <c r="G14" s="151"/>
      <c r="H14" s="151"/>
      <c r="I14" s="151"/>
      <c r="J14" s="359"/>
      <c r="K14" s="151"/>
      <c r="L14" s="151"/>
      <c r="M14" s="21"/>
      <c r="N14" s="151"/>
      <c r="O14" s="151"/>
      <c r="P14" s="21"/>
      <c r="Q14" s="151"/>
      <c r="R14" s="151"/>
      <c r="S14" s="151"/>
      <c r="T14" s="360"/>
      <c r="U14" s="361"/>
      <c r="V14" s="360"/>
      <c r="W14" s="360"/>
      <c r="X14" s="245"/>
      <c r="Y14" s="245"/>
    </row>
    <row r="15" spans="1:29" ht="17.25" x14ac:dyDescent="0.35">
      <c r="A15" s="153" t="s">
        <v>120</v>
      </c>
      <c r="B15" s="99">
        <f>Q15-N15</f>
        <v>-32</v>
      </c>
      <c r="C15" s="99">
        <f>N15-K15</f>
        <v>10</v>
      </c>
      <c r="D15" s="99">
        <f>K15-E15</f>
        <v>11</v>
      </c>
      <c r="E15" s="99">
        <v>11</v>
      </c>
      <c r="F15" s="99">
        <f>R15-O15</f>
        <v>11</v>
      </c>
      <c r="G15" s="99">
        <f>O15-L15</f>
        <v>11</v>
      </c>
      <c r="H15" s="99">
        <f>L15-I15</f>
        <v>13</v>
      </c>
      <c r="I15" s="99">
        <v>12</v>
      </c>
      <c r="J15" s="240"/>
      <c r="K15" s="99">
        <v>22</v>
      </c>
      <c r="L15" s="99">
        <v>25</v>
      </c>
      <c r="M15" s="88"/>
      <c r="N15" s="99">
        <v>32</v>
      </c>
      <c r="O15" s="99">
        <v>36</v>
      </c>
      <c r="P15" s="88"/>
      <c r="Q15" s="99">
        <v>0</v>
      </c>
      <c r="R15" s="99">
        <v>47</v>
      </c>
      <c r="S15" s="99">
        <v>52</v>
      </c>
      <c r="T15" s="241"/>
      <c r="U15" s="242"/>
      <c r="V15" s="241"/>
      <c r="W15" s="241"/>
      <c r="X15" s="243"/>
      <c r="Y15" s="243"/>
      <c r="Z15" s="244"/>
      <c r="AA15" s="244"/>
      <c r="AB15" s="244"/>
      <c r="AC15" s="244"/>
    </row>
    <row r="16" spans="1:29" s="250" customFormat="1" ht="18" x14ac:dyDescent="0.4">
      <c r="A16" s="388" t="s">
        <v>121</v>
      </c>
      <c r="B16" s="94">
        <f t="shared" ref="B16:H16" si="2">SUM(B13:B15)</f>
        <v>-3033</v>
      </c>
      <c r="C16" s="94">
        <f t="shared" si="2"/>
        <v>1321</v>
      </c>
      <c r="D16" s="94">
        <f t="shared" si="2"/>
        <v>899</v>
      </c>
      <c r="E16" s="94">
        <f t="shared" si="2"/>
        <v>813</v>
      </c>
      <c r="F16" s="94">
        <f t="shared" si="2"/>
        <v>971</v>
      </c>
      <c r="G16" s="94">
        <f t="shared" si="2"/>
        <v>809</v>
      </c>
      <c r="H16" s="94">
        <f t="shared" si="2"/>
        <v>949</v>
      </c>
      <c r="I16" s="94">
        <f t="shared" ref="I16" si="3">SUM(I13:I15)</f>
        <v>967</v>
      </c>
      <c r="J16" s="253"/>
      <c r="K16" s="94">
        <f>SUM(K13:K15)</f>
        <v>1712</v>
      </c>
      <c r="L16" s="94">
        <f>SUM(L13:L15)</f>
        <v>1916</v>
      </c>
      <c r="M16" s="254"/>
      <c r="N16" s="94">
        <f>SUM(N13:N15)</f>
        <v>3033</v>
      </c>
      <c r="O16" s="94">
        <f>SUM(O13:O15)</f>
        <v>2725</v>
      </c>
      <c r="P16" s="254"/>
      <c r="Q16" s="94">
        <f>SUM(Q13:Q15)</f>
        <v>0</v>
      </c>
      <c r="R16" s="94">
        <f>SUM(R13:R15)</f>
        <v>3696</v>
      </c>
      <c r="S16" s="94">
        <f>SUM(S13:S15)</f>
        <v>4033</v>
      </c>
      <c r="T16" s="246"/>
      <c r="U16" s="247"/>
      <c r="V16" s="246"/>
      <c r="W16" s="246"/>
      <c r="X16" s="248"/>
      <c r="Y16" s="248"/>
      <c r="Z16" s="249"/>
      <c r="AA16" s="249"/>
      <c r="AB16" s="249"/>
      <c r="AC16" s="249"/>
    </row>
    <row r="17" spans="1:22" ht="15.75" customHeight="1" x14ac:dyDescent="0.2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M17" s="241"/>
      <c r="P17" s="241"/>
      <c r="Q17" s="241"/>
      <c r="R17" s="241"/>
      <c r="S17" s="241"/>
      <c r="T17" s="234"/>
      <c r="U17" s="234"/>
      <c r="V17" s="234"/>
    </row>
    <row r="18" spans="1:22" ht="15.75" customHeight="1" x14ac:dyDescent="0.2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M18" s="241"/>
      <c r="P18" s="241"/>
      <c r="Q18" s="241"/>
      <c r="R18" s="241"/>
      <c r="S18" s="241"/>
      <c r="T18" s="234"/>
      <c r="U18" s="234"/>
      <c r="V18" s="234"/>
    </row>
    <row r="19" spans="1:22" ht="15.75" customHeight="1" x14ac:dyDescent="0.2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M19" s="241"/>
      <c r="P19" s="241"/>
      <c r="Q19" s="241"/>
      <c r="R19" s="241"/>
      <c r="S19" s="241"/>
      <c r="T19" s="234"/>
      <c r="U19" s="234"/>
      <c r="V19" s="234"/>
    </row>
    <row r="20" spans="1:22" ht="15.75" customHeight="1" x14ac:dyDescent="0.2">
      <c r="A20" s="234"/>
      <c r="B20" s="234"/>
      <c r="C20" s="234"/>
      <c r="D20" s="234"/>
      <c r="E20" s="234"/>
      <c r="F20" s="234"/>
      <c r="G20" s="234"/>
      <c r="H20" s="234"/>
      <c r="I20" s="234"/>
      <c r="J20" s="234"/>
      <c r="M20" s="241"/>
      <c r="P20" s="241"/>
      <c r="Q20" s="241"/>
      <c r="R20" s="241"/>
      <c r="S20" s="241"/>
      <c r="T20" s="234"/>
      <c r="U20" s="234"/>
      <c r="V20" s="234"/>
    </row>
    <row r="21" spans="1:22" ht="15.75" customHeight="1" x14ac:dyDescent="0.2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M21" s="241"/>
      <c r="P21" s="241"/>
      <c r="Q21" s="241"/>
      <c r="R21" s="241"/>
      <c r="S21" s="241"/>
      <c r="T21" s="234"/>
      <c r="U21" s="234"/>
      <c r="V21" s="234"/>
    </row>
    <row r="22" spans="1:22" ht="15.75" customHeight="1" x14ac:dyDescent="0.2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M22" s="241"/>
      <c r="P22" s="241"/>
      <c r="Q22" s="241"/>
      <c r="R22" s="241"/>
      <c r="S22" s="241"/>
      <c r="T22" s="234"/>
      <c r="U22" s="234"/>
      <c r="V22" s="234"/>
    </row>
    <row r="23" spans="1:22" ht="15.75" customHeight="1" x14ac:dyDescent="0.2">
      <c r="A23" s="234"/>
      <c r="B23" s="234"/>
      <c r="C23" s="234"/>
      <c r="D23" s="234"/>
      <c r="E23" s="234"/>
      <c r="F23" s="234"/>
      <c r="G23" s="234"/>
      <c r="H23" s="234"/>
      <c r="I23" s="234"/>
      <c r="J23" s="234"/>
      <c r="M23" s="241"/>
      <c r="P23" s="241"/>
      <c r="Q23" s="241"/>
      <c r="R23" s="241"/>
      <c r="S23" s="241"/>
      <c r="T23" s="234"/>
      <c r="U23" s="234"/>
      <c r="V23" s="234"/>
    </row>
    <row r="24" spans="1:22" ht="15.75" customHeight="1" x14ac:dyDescent="0.2">
      <c r="A24" s="234"/>
      <c r="B24" s="234"/>
      <c r="C24" s="234"/>
      <c r="D24" s="234"/>
      <c r="E24" s="234"/>
      <c r="F24" s="234"/>
      <c r="G24" s="234"/>
      <c r="H24" s="234"/>
      <c r="I24" s="234"/>
      <c r="J24" s="234"/>
      <c r="M24" s="241"/>
      <c r="P24" s="241"/>
      <c r="Q24" s="241"/>
      <c r="R24" s="241"/>
      <c r="S24" s="241"/>
      <c r="T24" s="234"/>
      <c r="U24" s="234"/>
      <c r="V24" s="234"/>
    </row>
    <row r="25" spans="1:22" ht="15.75" customHeight="1" x14ac:dyDescent="0.2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M25" s="241"/>
      <c r="P25" s="241"/>
      <c r="Q25" s="241"/>
      <c r="R25" s="241"/>
      <c r="S25" s="241"/>
      <c r="T25" s="234"/>
      <c r="U25" s="234"/>
      <c r="V25" s="234"/>
    </row>
    <row r="26" spans="1:22" ht="15.75" customHeight="1" x14ac:dyDescent="0.2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M26" s="241"/>
      <c r="P26" s="241"/>
      <c r="Q26" s="241"/>
      <c r="R26" s="241"/>
      <c r="S26" s="241"/>
      <c r="T26" s="234"/>
      <c r="U26" s="234"/>
      <c r="V26" s="234"/>
    </row>
    <row r="27" spans="1:22" ht="15.75" customHeight="1" x14ac:dyDescent="0.2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M27" s="241"/>
      <c r="P27" s="241"/>
      <c r="Q27" s="241"/>
      <c r="R27" s="241"/>
      <c r="S27" s="241"/>
      <c r="T27" s="234"/>
      <c r="U27" s="234"/>
      <c r="V27" s="234"/>
    </row>
    <row r="28" spans="1:22" ht="15.75" customHeight="1" x14ac:dyDescent="0.2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M28" s="241"/>
      <c r="P28" s="241"/>
      <c r="Q28" s="241"/>
      <c r="R28" s="241"/>
      <c r="S28" s="241"/>
      <c r="T28" s="234"/>
      <c r="U28" s="234"/>
      <c r="V28" s="234"/>
    </row>
    <row r="29" spans="1:22" ht="15.75" customHeight="1" x14ac:dyDescent="0.2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T29" s="234"/>
      <c r="U29" s="234"/>
      <c r="V29" s="234"/>
    </row>
    <row r="30" spans="1:22" ht="15.75" customHeight="1" x14ac:dyDescent="0.2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T30" s="234"/>
      <c r="U30" s="234"/>
      <c r="V30" s="234"/>
    </row>
    <row r="31" spans="1:22" ht="15.75" customHeight="1" x14ac:dyDescent="0.2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T31" s="234"/>
      <c r="U31" s="234"/>
      <c r="V31" s="234"/>
    </row>
    <row r="32" spans="1:22" ht="15.75" customHeight="1" x14ac:dyDescent="0.2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T32" s="234"/>
      <c r="U32" s="234"/>
      <c r="V32" s="234"/>
    </row>
    <row r="33" spans="1:22" ht="15.75" customHeight="1" x14ac:dyDescent="0.2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T33" s="234"/>
      <c r="U33" s="234"/>
      <c r="V33" s="234"/>
    </row>
    <row r="34" spans="1:22" ht="15.75" customHeight="1" x14ac:dyDescent="0.2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T34" s="234"/>
      <c r="U34" s="234"/>
      <c r="V34" s="234"/>
    </row>
    <row r="35" spans="1:22" ht="15.75" customHeight="1" x14ac:dyDescent="0.2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T35" s="234"/>
      <c r="U35" s="234"/>
      <c r="V35" s="234"/>
    </row>
    <row r="36" spans="1:22" ht="15.75" customHeight="1" x14ac:dyDescent="0.2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T36" s="234"/>
      <c r="U36" s="234"/>
      <c r="V36" s="234"/>
    </row>
    <row r="37" spans="1:22" ht="15.75" customHeight="1" x14ac:dyDescent="0.2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T37" s="234"/>
      <c r="U37" s="234"/>
      <c r="V37" s="234"/>
    </row>
    <row r="38" spans="1:22" ht="15.75" customHeight="1" x14ac:dyDescent="0.2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T38" s="234"/>
      <c r="U38" s="234"/>
      <c r="V38" s="234"/>
    </row>
    <row r="39" spans="1:22" ht="15.75" customHeight="1" x14ac:dyDescent="0.2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T39" s="234"/>
      <c r="U39" s="234"/>
      <c r="V39" s="234"/>
    </row>
    <row r="40" spans="1:22" ht="15.75" customHeight="1" x14ac:dyDescent="0.2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T40" s="234"/>
      <c r="U40" s="234"/>
      <c r="V40" s="234"/>
    </row>
    <row r="41" spans="1:22" ht="15.75" customHeight="1" x14ac:dyDescent="0.2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T41" s="234"/>
      <c r="U41" s="234"/>
      <c r="V41" s="234"/>
    </row>
    <row r="42" spans="1:22" ht="15.75" customHeight="1" x14ac:dyDescent="0.2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T42" s="234"/>
      <c r="U42" s="234"/>
      <c r="V42" s="234"/>
    </row>
    <row r="43" spans="1:22" ht="15.75" customHeight="1" x14ac:dyDescent="0.2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T43" s="234"/>
      <c r="U43" s="234"/>
      <c r="V43" s="234"/>
    </row>
    <row r="44" spans="1:22" ht="15.75" customHeight="1" x14ac:dyDescent="0.2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T44" s="234"/>
      <c r="U44" s="234"/>
      <c r="V44" s="234"/>
    </row>
    <row r="45" spans="1:22" ht="15.75" customHeight="1" x14ac:dyDescent="0.2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T45" s="234"/>
      <c r="U45" s="234"/>
      <c r="V45" s="234"/>
    </row>
    <row r="46" spans="1:22" ht="15.75" customHeight="1" x14ac:dyDescent="0.2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T46" s="234"/>
      <c r="U46" s="234"/>
      <c r="V46" s="234"/>
    </row>
    <row r="47" spans="1:22" ht="15.75" customHeight="1" x14ac:dyDescent="0.2">
      <c r="A47" s="241"/>
      <c r="B47" s="241"/>
      <c r="C47" s="241"/>
      <c r="D47" s="241"/>
      <c r="E47" s="241"/>
      <c r="F47" s="241"/>
      <c r="G47" s="241"/>
      <c r="H47" s="241"/>
      <c r="I47" s="241"/>
      <c r="J47" s="241"/>
      <c r="T47" s="234"/>
      <c r="U47" s="234"/>
      <c r="V47" s="234"/>
    </row>
    <row r="48" spans="1:22" ht="15.75" customHeight="1" x14ac:dyDescent="0.2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T48" s="234"/>
      <c r="U48" s="234"/>
      <c r="V48" s="234"/>
    </row>
    <row r="49" spans="1:22" ht="15.75" customHeight="1" x14ac:dyDescent="0.2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T49" s="234"/>
      <c r="U49" s="234"/>
      <c r="V49" s="234"/>
    </row>
    <row r="50" spans="1:22" ht="15.75" customHeight="1" x14ac:dyDescent="0.2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T50" s="234"/>
      <c r="U50" s="234"/>
      <c r="V50" s="234"/>
    </row>
    <row r="51" spans="1:22" ht="15.75" customHeight="1" x14ac:dyDescent="0.2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T51" s="234"/>
      <c r="U51" s="234"/>
      <c r="V51" s="234"/>
    </row>
    <row r="52" spans="1:22" ht="15.75" customHeight="1" x14ac:dyDescent="0.2">
      <c r="A52" s="234"/>
      <c r="B52" s="234"/>
      <c r="C52" s="234"/>
      <c r="D52" s="234"/>
      <c r="E52" s="234"/>
      <c r="F52" s="234"/>
      <c r="G52" s="234"/>
      <c r="H52" s="234"/>
      <c r="I52" s="234"/>
      <c r="J52" s="234"/>
      <c r="T52" s="234"/>
      <c r="U52" s="234"/>
      <c r="V52" s="234"/>
    </row>
    <row r="53" spans="1:22" ht="15.75" customHeight="1" x14ac:dyDescent="0.2">
      <c r="A53" s="234"/>
      <c r="B53" s="234"/>
      <c r="C53" s="234"/>
      <c r="D53" s="234"/>
      <c r="E53" s="234"/>
      <c r="F53" s="234"/>
      <c r="G53" s="234"/>
      <c r="H53" s="234"/>
      <c r="I53" s="234"/>
      <c r="J53" s="234"/>
      <c r="T53" s="234"/>
      <c r="U53" s="234"/>
      <c r="V53" s="234"/>
    </row>
    <row r="54" spans="1:22" ht="15.75" customHeight="1" x14ac:dyDescent="0.2">
      <c r="A54" s="234"/>
      <c r="B54" s="234"/>
      <c r="C54" s="234"/>
      <c r="D54" s="234"/>
      <c r="E54" s="234"/>
      <c r="F54" s="234"/>
      <c r="G54" s="234"/>
      <c r="H54" s="234"/>
      <c r="I54" s="234"/>
      <c r="J54" s="234"/>
      <c r="T54" s="234"/>
      <c r="U54" s="234"/>
      <c r="V54" s="234"/>
    </row>
    <row r="55" spans="1:22" ht="15.75" customHeight="1" x14ac:dyDescent="0.2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T55" s="234"/>
      <c r="U55" s="234"/>
      <c r="V55" s="234"/>
    </row>
    <row r="56" spans="1:22" ht="15.75" customHeight="1" x14ac:dyDescent="0.2">
      <c r="A56" s="234"/>
      <c r="B56" s="234"/>
      <c r="C56" s="234"/>
      <c r="D56" s="234"/>
      <c r="E56" s="234"/>
      <c r="F56" s="234"/>
      <c r="G56" s="234"/>
      <c r="H56" s="234"/>
      <c r="I56" s="234"/>
      <c r="J56" s="234"/>
      <c r="T56" s="234"/>
      <c r="U56" s="234"/>
      <c r="V56" s="234"/>
    </row>
    <row r="57" spans="1:22" ht="15.75" customHeight="1" x14ac:dyDescent="0.2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T57" s="234"/>
      <c r="U57" s="234"/>
      <c r="V57" s="234"/>
    </row>
    <row r="58" spans="1:22" ht="15.75" customHeight="1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T58" s="234"/>
      <c r="U58" s="234"/>
      <c r="V58" s="234"/>
    </row>
    <row r="59" spans="1:22" ht="15.75" customHeight="1" x14ac:dyDescent="0.2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T59" s="234"/>
      <c r="U59" s="234"/>
      <c r="V59" s="234"/>
    </row>
    <row r="60" spans="1:22" ht="15.75" customHeight="1" x14ac:dyDescent="0.2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T60" s="234"/>
      <c r="U60" s="234"/>
      <c r="V60" s="234"/>
    </row>
    <row r="61" spans="1:22" ht="15.75" customHeight="1" x14ac:dyDescent="0.2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T61" s="234"/>
      <c r="U61" s="234"/>
      <c r="V61" s="234"/>
    </row>
    <row r="62" spans="1:22" ht="15.75" customHeight="1" x14ac:dyDescent="0.2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T62" s="234"/>
      <c r="U62" s="234"/>
      <c r="V62" s="234"/>
    </row>
    <row r="63" spans="1:22" ht="15.75" customHeight="1" x14ac:dyDescent="0.2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T63" s="234"/>
      <c r="U63" s="234"/>
      <c r="V63" s="234"/>
    </row>
    <row r="64" spans="1:22" ht="15.75" customHeight="1" x14ac:dyDescent="0.2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T64" s="234"/>
      <c r="U64" s="234"/>
      <c r="V64" s="234"/>
    </row>
    <row r="65" spans="1:22" ht="15.75" customHeight="1" x14ac:dyDescent="0.2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T65" s="234"/>
      <c r="U65" s="234"/>
      <c r="V65" s="234"/>
    </row>
    <row r="66" spans="1:22" ht="15.75" customHeight="1" x14ac:dyDescent="0.2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T66" s="234"/>
      <c r="U66" s="234"/>
      <c r="V66" s="234"/>
    </row>
    <row r="67" spans="1:22" ht="15.75" customHeight="1" x14ac:dyDescent="0.2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T67" s="234"/>
      <c r="U67" s="234"/>
      <c r="V67" s="234"/>
    </row>
    <row r="68" spans="1:22" ht="15.75" customHeight="1" x14ac:dyDescent="0.2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T68" s="234"/>
      <c r="U68" s="234"/>
      <c r="V68" s="234"/>
    </row>
    <row r="69" spans="1:22" ht="15.75" customHeight="1" x14ac:dyDescent="0.2">
      <c r="A69" s="234"/>
      <c r="B69" s="234"/>
      <c r="C69" s="234"/>
      <c r="D69" s="234"/>
      <c r="E69" s="234"/>
      <c r="F69" s="234"/>
      <c r="G69" s="234"/>
      <c r="H69" s="234"/>
      <c r="I69" s="234"/>
      <c r="J69" s="234"/>
      <c r="T69" s="234"/>
      <c r="U69" s="234"/>
      <c r="V69" s="234"/>
    </row>
  </sheetData>
  <sheetProtection password="CBFD" sheet="1" objects="1" scenarios="1"/>
  <phoneticPr fontId="0" type="noConversion"/>
  <pageMargins left="0.7" right="0.7" top="0.75" bottom="0.25" header="0.3" footer="0.05"/>
  <pageSetup scale="75" orientation="landscape" r:id="rId1"/>
  <headerFooter>
    <oddHeader>&amp;R&amp;G</oddHeader>
    <oddFooter>&amp;C15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S29"/>
  <sheetViews>
    <sheetView zoomScale="85" zoomScaleNormal="85" workbookViewId="0"/>
  </sheetViews>
  <sheetFormatPr defaultRowHeight="15.75" x14ac:dyDescent="0.25"/>
  <cols>
    <col min="1" max="1" width="55.109375" style="142" customWidth="1"/>
    <col min="2" max="2" width="10.88671875" style="142" hidden="1" customWidth="1"/>
    <col min="3" max="4" width="10.88671875" style="142" customWidth="1"/>
    <col min="5" max="7" width="10.77734375" style="142" customWidth="1"/>
    <col min="8" max="9" width="10.77734375" style="142" hidden="1" customWidth="1"/>
    <col min="10" max="10" width="1.88671875" style="142" customWidth="1"/>
    <col min="11" max="12" width="10.88671875" style="142" hidden="1" customWidth="1"/>
    <col min="13" max="13" width="1.77734375" style="142" hidden="1" customWidth="1"/>
    <col min="14" max="15" width="10.88671875" style="142" customWidth="1"/>
    <col min="16" max="16" width="1.77734375" style="142" hidden="1" customWidth="1"/>
    <col min="17" max="17" width="10.88671875" style="142" hidden="1" customWidth="1"/>
    <col min="18" max="19" width="10.77734375" style="142" hidden="1" customWidth="1"/>
    <col min="20" max="16384" width="8.88671875" style="142"/>
  </cols>
  <sheetData>
    <row r="1" spans="1:19" ht="18" x14ac:dyDescent="0.25">
      <c r="A1" s="131" t="str">
        <f>'Cover Page'!$H$10</f>
        <v>American Financial Group, Inc.</v>
      </c>
    </row>
    <row r="2" spans="1:19" ht="18" x14ac:dyDescent="0.25">
      <c r="A2" s="131" t="s">
        <v>205</v>
      </c>
    </row>
    <row r="3" spans="1:19" x14ac:dyDescent="0.25">
      <c r="A3" s="16" t="s">
        <v>14</v>
      </c>
    </row>
    <row r="5" spans="1:19" s="215" customFormat="1" x14ac:dyDescent="0.25">
      <c r="A5" s="203"/>
      <c r="B5" s="204" t="s">
        <v>2</v>
      </c>
      <c r="C5" s="204" t="s">
        <v>2</v>
      </c>
      <c r="D5" s="204"/>
      <c r="E5" s="204"/>
      <c r="F5" s="205"/>
      <c r="G5" s="205"/>
      <c r="H5" s="205"/>
      <c r="I5" s="205"/>
      <c r="J5" s="203"/>
      <c r="K5" s="204" t="s">
        <v>6</v>
      </c>
      <c r="L5" s="205"/>
      <c r="M5" s="206"/>
      <c r="N5" s="204" t="s">
        <v>7</v>
      </c>
      <c r="O5" s="205"/>
      <c r="P5" s="203"/>
      <c r="Q5" s="204" t="s">
        <v>3</v>
      </c>
      <c r="R5" s="204" t="s">
        <v>3</v>
      </c>
      <c r="S5" s="205"/>
    </row>
    <row r="6" spans="1:19" ht="20.25" x14ac:dyDescent="0.55000000000000004">
      <c r="A6" s="203"/>
      <c r="B6" s="69" t="s">
        <v>384</v>
      </c>
      <c r="C6" s="69" t="s">
        <v>385</v>
      </c>
      <c r="D6" s="69" t="s">
        <v>386</v>
      </c>
      <c r="E6" s="69" t="s">
        <v>387</v>
      </c>
      <c r="F6" s="69" t="s">
        <v>322</v>
      </c>
      <c r="G6" s="69" t="s">
        <v>323</v>
      </c>
      <c r="H6" s="69" t="s">
        <v>324</v>
      </c>
      <c r="I6" s="69" t="s">
        <v>325</v>
      </c>
      <c r="J6" s="84"/>
      <c r="K6" s="84" t="s">
        <v>386</v>
      </c>
      <c r="L6" s="84" t="s">
        <v>324</v>
      </c>
      <c r="M6" s="84"/>
      <c r="N6" s="84" t="s">
        <v>385</v>
      </c>
      <c r="O6" s="84" t="s">
        <v>323</v>
      </c>
      <c r="P6" s="84"/>
      <c r="Q6" s="84" t="s">
        <v>384</v>
      </c>
      <c r="R6" s="84" t="s">
        <v>322</v>
      </c>
      <c r="S6" s="84" t="s">
        <v>117</v>
      </c>
    </row>
    <row r="7" spans="1:19" s="215" customFormat="1" ht="15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208"/>
      <c r="L7" s="208"/>
      <c r="M7" s="62"/>
      <c r="N7" s="208"/>
      <c r="O7" s="208"/>
      <c r="P7" s="62"/>
      <c r="Q7" s="208"/>
      <c r="R7" s="208"/>
      <c r="S7" s="208"/>
    </row>
    <row r="8" spans="1:19" s="215" customFormat="1" ht="18" customHeight="1" x14ac:dyDescent="0.2">
      <c r="A8" s="209" t="s">
        <v>267</v>
      </c>
      <c r="B8" s="66">
        <f>C17</f>
        <v>25725</v>
      </c>
      <c r="C8" s="66">
        <f>D17</f>
        <v>24906</v>
      </c>
      <c r="D8" s="66">
        <f>E17</f>
        <v>24042</v>
      </c>
      <c r="E8" s="66">
        <f>F17</f>
        <v>23462</v>
      </c>
      <c r="F8" s="66">
        <f t="shared" ref="F8:H8" si="0">G17</f>
        <v>22745</v>
      </c>
      <c r="G8" s="66">
        <f t="shared" si="0"/>
        <v>22205</v>
      </c>
      <c r="H8" s="66">
        <f t="shared" si="0"/>
        <v>21453</v>
      </c>
      <c r="I8" s="66">
        <f>S17</f>
        <v>20679</v>
      </c>
      <c r="J8" s="212"/>
      <c r="K8" s="66">
        <f>Q17</f>
        <v>23462</v>
      </c>
      <c r="L8" s="66">
        <f>S17</f>
        <v>20679</v>
      </c>
      <c r="M8" s="213"/>
      <c r="N8" s="66">
        <f>Q17</f>
        <v>23462</v>
      </c>
      <c r="O8" s="66">
        <f>S17</f>
        <v>20679</v>
      </c>
      <c r="P8" s="213"/>
      <c r="Q8" s="66">
        <f>R17</f>
        <v>23462</v>
      </c>
      <c r="R8" s="66">
        <f>S17</f>
        <v>20679</v>
      </c>
      <c r="S8" s="66">
        <v>17274</v>
      </c>
    </row>
    <row r="9" spans="1:19" s="215" customFormat="1" ht="18" customHeight="1" x14ac:dyDescent="0.35">
      <c r="A9" s="209" t="s">
        <v>97</v>
      </c>
      <c r="B9" s="64">
        <f>Q9-N9</f>
        <v>-3001</v>
      </c>
      <c r="C9" s="64">
        <f>N9-K9</f>
        <v>1311</v>
      </c>
      <c r="D9" s="64">
        <f>K9-E9</f>
        <v>888</v>
      </c>
      <c r="E9" s="64">
        <v>802</v>
      </c>
      <c r="F9" s="64">
        <f>R9-O9</f>
        <v>960</v>
      </c>
      <c r="G9" s="64">
        <f>O9-L9</f>
        <v>798</v>
      </c>
      <c r="H9" s="64">
        <f>L9-I9</f>
        <v>936</v>
      </c>
      <c r="I9" s="64">
        <v>955</v>
      </c>
      <c r="J9" s="65"/>
      <c r="K9" s="64">
        <v>1690</v>
      </c>
      <c r="L9" s="64">
        <v>1891</v>
      </c>
      <c r="M9" s="63"/>
      <c r="N9" s="64">
        <v>3001</v>
      </c>
      <c r="O9" s="64">
        <v>2689</v>
      </c>
      <c r="P9" s="63"/>
      <c r="Q9" s="64">
        <v>0</v>
      </c>
      <c r="R9" s="64">
        <v>3649</v>
      </c>
      <c r="S9" s="64">
        <v>3981</v>
      </c>
    </row>
    <row r="10" spans="1:19" s="215" customFormat="1" ht="18" customHeight="1" x14ac:dyDescent="0.35">
      <c r="A10" s="209" t="s">
        <v>307</v>
      </c>
      <c r="B10" s="64">
        <f>Q10-N10</f>
        <v>-300</v>
      </c>
      <c r="C10" s="64">
        <f>N10-K10</f>
        <v>0</v>
      </c>
      <c r="D10" s="64">
        <f>K10-E10</f>
        <v>300</v>
      </c>
      <c r="E10" s="64">
        <v>0</v>
      </c>
      <c r="F10" s="64">
        <f>R10-O10</f>
        <v>0</v>
      </c>
      <c r="G10" s="64">
        <f>O10-L10</f>
        <v>0</v>
      </c>
      <c r="H10" s="64">
        <f>L10-I10</f>
        <v>0</v>
      </c>
      <c r="I10" s="64">
        <v>0</v>
      </c>
      <c r="J10" s="65"/>
      <c r="K10" s="64">
        <v>300</v>
      </c>
      <c r="L10" s="64">
        <v>0</v>
      </c>
      <c r="M10" s="63"/>
      <c r="N10" s="64">
        <v>300</v>
      </c>
      <c r="O10" s="64">
        <v>0</v>
      </c>
      <c r="P10" s="63"/>
      <c r="Q10" s="64">
        <v>0</v>
      </c>
      <c r="R10" s="64">
        <v>0</v>
      </c>
      <c r="S10" s="64">
        <v>200</v>
      </c>
    </row>
    <row r="11" spans="1:19" s="215" customFormat="1" ht="18" customHeight="1" x14ac:dyDescent="0.35">
      <c r="A11" s="207" t="s">
        <v>200</v>
      </c>
      <c r="B11" s="64">
        <f>Q11-N11</f>
        <v>1417</v>
      </c>
      <c r="C11" s="64">
        <f>N11-K11</f>
        <v>-526</v>
      </c>
      <c r="D11" s="64">
        <f>K11-E11</f>
        <v>-471</v>
      </c>
      <c r="E11" s="64">
        <v>-420</v>
      </c>
      <c r="F11" s="64">
        <f>R11-O11</f>
        <v>-464</v>
      </c>
      <c r="G11" s="64">
        <f>O11-L11</f>
        <v>-426</v>
      </c>
      <c r="H11" s="64">
        <f>L11-I11</f>
        <v>-408</v>
      </c>
      <c r="I11" s="64">
        <v>-375</v>
      </c>
      <c r="J11" s="65"/>
      <c r="K11" s="64">
        <v>-891</v>
      </c>
      <c r="L11" s="64">
        <v>-783</v>
      </c>
      <c r="M11" s="63"/>
      <c r="N11" s="64">
        <v>-1417</v>
      </c>
      <c r="O11" s="64">
        <v>-1209</v>
      </c>
      <c r="P11" s="63"/>
      <c r="Q11" s="64">
        <v>0</v>
      </c>
      <c r="R11" s="64">
        <v>-1673</v>
      </c>
      <c r="S11" s="64">
        <v>-1493</v>
      </c>
    </row>
    <row r="12" spans="1:19" s="215" customFormat="1" ht="18" customHeight="1" x14ac:dyDescent="0.35">
      <c r="A12" s="207" t="s">
        <v>201</v>
      </c>
      <c r="B12" s="64"/>
      <c r="C12" s="64"/>
      <c r="D12" s="64"/>
      <c r="E12" s="64"/>
      <c r="F12" s="64"/>
      <c r="G12" s="64"/>
      <c r="H12" s="64"/>
      <c r="I12" s="64"/>
      <c r="J12" s="65"/>
      <c r="K12" s="64"/>
      <c r="L12" s="64"/>
      <c r="M12" s="63"/>
      <c r="N12" s="64"/>
      <c r="O12" s="64"/>
      <c r="P12" s="63"/>
      <c r="Q12" s="64"/>
      <c r="R12" s="64"/>
      <c r="S12" s="64"/>
    </row>
    <row r="13" spans="1:19" s="215" customFormat="1" ht="18" customHeight="1" x14ac:dyDescent="0.35">
      <c r="A13" s="421" t="s">
        <v>159</v>
      </c>
      <c r="B13" s="64">
        <f>Q13-N13</f>
        <v>-394</v>
      </c>
      <c r="C13" s="64">
        <f>N13-K13</f>
        <v>135</v>
      </c>
      <c r="D13" s="64">
        <f>K13-E13</f>
        <v>131</v>
      </c>
      <c r="E13" s="64">
        <v>128</v>
      </c>
      <c r="F13" s="64">
        <f>R13-O13</f>
        <v>127</v>
      </c>
      <c r="G13" s="64">
        <f>O13-L13</f>
        <v>126</v>
      </c>
      <c r="H13" s="64">
        <f>L13-I13</f>
        <v>123</v>
      </c>
      <c r="I13" s="64">
        <v>121</v>
      </c>
      <c r="J13" s="65"/>
      <c r="K13" s="64">
        <v>259</v>
      </c>
      <c r="L13" s="64">
        <v>244</v>
      </c>
      <c r="M13" s="63"/>
      <c r="N13" s="64">
        <v>394</v>
      </c>
      <c r="O13" s="64">
        <v>370</v>
      </c>
      <c r="P13" s="63"/>
      <c r="Q13" s="64">
        <v>0</v>
      </c>
      <c r="R13" s="64">
        <v>497</v>
      </c>
      <c r="S13" s="64">
        <v>451</v>
      </c>
    </row>
    <row r="14" spans="1:19" s="215" customFormat="1" ht="18" customHeight="1" x14ac:dyDescent="0.35">
      <c r="A14" s="421" t="s">
        <v>98</v>
      </c>
      <c r="B14" s="64">
        <f>Q14-N14</f>
        <v>99</v>
      </c>
      <c r="C14" s="64">
        <f>N14-K14</f>
        <v>-130</v>
      </c>
      <c r="D14" s="64">
        <f>K14-E14</f>
        <v>-19</v>
      </c>
      <c r="E14" s="64">
        <v>50</v>
      </c>
      <c r="F14" s="64">
        <f>R14-O14</f>
        <v>87</v>
      </c>
      <c r="G14" s="64">
        <f>O14-L14</f>
        <v>21</v>
      </c>
      <c r="H14" s="64">
        <f>L14-I14</f>
        <v>78</v>
      </c>
      <c r="I14" s="64">
        <v>54</v>
      </c>
      <c r="J14" s="65"/>
      <c r="K14" s="64">
        <v>31</v>
      </c>
      <c r="L14" s="64">
        <v>132</v>
      </c>
      <c r="M14" s="63"/>
      <c r="N14" s="64">
        <v>-99</v>
      </c>
      <c r="O14" s="64">
        <v>153</v>
      </c>
      <c r="P14" s="63"/>
      <c r="Q14" s="64">
        <v>0</v>
      </c>
      <c r="R14" s="64">
        <v>240</v>
      </c>
      <c r="S14" s="64">
        <v>184</v>
      </c>
    </row>
    <row r="15" spans="1:19" s="215" customFormat="1" ht="18" customHeight="1" x14ac:dyDescent="0.35">
      <c r="A15" s="421" t="s">
        <v>99</v>
      </c>
      <c r="B15" s="64">
        <f>Q15-N15</f>
        <v>-84</v>
      </c>
      <c r="C15" s="64">
        <f>N15-K15</f>
        <v>29</v>
      </c>
      <c r="D15" s="64">
        <f>K15-E15</f>
        <v>35</v>
      </c>
      <c r="E15" s="64">
        <v>20</v>
      </c>
      <c r="F15" s="64">
        <f>R15-O15</f>
        <v>18</v>
      </c>
      <c r="G15" s="64">
        <f>O15-L15</f>
        <v>21</v>
      </c>
      <c r="H15" s="64">
        <f>L15-I15</f>
        <v>23</v>
      </c>
      <c r="I15" s="64">
        <v>19</v>
      </c>
      <c r="J15" s="65"/>
      <c r="K15" s="64">
        <v>55</v>
      </c>
      <c r="L15" s="64">
        <v>42</v>
      </c>
      <c r="M15" s="63"/>
      <c r="N15" s="64">
        <v>84</v>
      </c>
      <c r="O15" s="64">
        <v>63</v>
      </c>
      <c r="P15" s="63"/>
      <c r="Q15" s="64">
        <v>0</v>
      </c>
      <c r="R15" s="64">
        <v>81</v>
      </c>
      <c r="S15" s="64">
        <v>78</v>
      </c>
    </row>
    <row r="16" spans="1:19" s="215" customFormat="1" ht="18" customHeight="1" x14ac:dyDescent="0.35">
      <c r="A16" s="421" t="s">
        <v>100</v>
      </c>
      <c r="B16" s="65">
        <f>Q16-N16</f>
        <v>0</v>
      </c>
      <c r="C16" s="65">
        <f>N16-K16</f>
        <v>0</v>
      </c>
      <c r="D16" s="65">
        <f>K16-E16</f>
        <v>0</v>
      </c>
      <c r="E16" s="65">
        <v>0</v>
      </c>
      <c r="F16" s="65">
        <f>R16-O16</f>
        <v>-11</v>
      </c>
      <c r="G16" s="65">
        <f>O16-L16</f>
        <v>0</v>
      </c>
      <c r="H16" s="65">
        <f>L16-I16</f>
        <v>0</v>
      </c>
      <c r="I16" s="65">
        <v>0</v>
      </c>
      <c r="J16" s="65"/>
      <c r="K16" s="65">
        <v>0</v>
      </c>
      <c r="L16" s="65">
        <v>0</v>
      </c>
      <c r="M16" s="65"/>
      <c r="N16" s="65">
        <v>0</v>
      </c>
      <c r="O16" s="65">
        <v>0</v>
      </c>
      <c r="P16" s="65"/>
      <c r="Q16" s="65">
        <v>0</v>
      </c>
      <c r="R16" s="65">
        <v>-11</v>
      </c>
      <c r="S16" s="65">
        <v>4</v>
      </c>
    </row>
    <row r="17" spans="1:19" s="258" customFormat="1" ht="18" customHeight="1" x14ac:dyDescent="0.4">
      <c r="A17" s="202" t="s">
        <v>101</v>
      </c>
      <c r="B17" s="214">
        <f t="shared" ref="B17:G17" si="1">SUM(B8:B16)</f>
        <v>23462</v>
      </c>
      <c r="C17" s="214">
        <f t="shared" si="1"/>
        <v>25725</v>
      </c>
      <c r="D17" s="214">
        <f>SUM(D8:D16)</f>
        <v>24906</v>
      </c>
      <c r="E17" s="214">
        <f>SUM(E8:E16)</f>
        <v>24042</v>
      </c>
      <c r="F17" s="214">
        <f t="shared" si="1"/>
        <v>23462</v>
      </c>
      <c r="G17" s="214">
        <f t="shared" si="1"/>
        <v>22745</v>
      </c>
      <c r="H17" s="214">
        <f>SUM(H8:H16)</f>
        <v>22205</v>
      </c>
      <c r="I17" s="214">
        <f>SUM(I8:I16)</f>
        <v>21453</v>
      </c>
      <c r="J17" s="257"/>
      <c r="K17" s="214">
        <f>SUM(K8:K16)</f>
        <v>24906</v>
      </c>
      <c r="L17" s="214">
        <f>SUM(L8:L16)</f>
        <v>22205</v>
      </c>
      <c r="M17" s="257"/>
      <c r="N17" s="214">
        <f>SUM(N8:N16)</f>
        <v>25725</v>
      </c>
      <c r="O17" s="214">
        <f>SUM(O8:O16)</f>
        <v>22745</v>
      </c>
      <c r="P17" s="257"/>
      <c r="Q17" s="214">
        <f>SUM(Q8:Q16)</f>
        <v>23462</v>
      </c>
      <c r="R17" s="214">
        <f>SUM(R8:R16)</f>
        <v>23462</v>
      </c>
      <c r="S17" s="214">
        <f>SUM(S8:S16)</f>
        <v>20679</v>
      </c>
    </row>
    <row r="18" spans="1:19" s="215" customFormat="1" ht="18" customHeight="1" x14ac:dyDescent="0.2">
      <c r="A18" s="217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x14ac:dyDescent="0.25">
      <c r="A19" s="207" t="s">
        <v>297</v>
      </c>
    </row>
    <row r="20" spans="1:19" x14ac:dyDescent="0.25">
      <c r="A20" s="421" t="s">
        <v>101</v>
      </c>
      <c r="B20" s="66">
        <f t="shared" ref="B20:I20" si="2">B17</f>
        <v>23462</v>
      </c>
      <c r="C20" s="66">
        <f t="shared" si="2"/>
        <v>25725</v>
      </c>
      <c r="D20" s="66">
        <f t="shared" si="2"/>
        <v>24906</v>
      </c>
      <c r="E20" s="66">
        <f t="shared" si="2"/>
        <v>24042</v>
      </c>
      <c r="F20" s="66">
        <f t="shared" si="2"/>
        <v>23462</v>
      </c>
      <c r="G20" s="66">
        <f t="shared" si="2"/>
        <v>22745</v>
      </c>
      <c r="H20" s="66">
        <f t="shared" si="2"/>
        <v>22205</v>
      </c>
      <c r="I20" s="66">
        <f t="shared" si="2"/>
        <v>21453</v>
      </c>
      <c r="J20" s="256"/>
      <c r="K20" s="66">
        <f>K17</f>
        <v>24906</v>
      </c>
      <c r="L20" s="66">
        <f>L17</f>
        <v>22205</v>
      </c>
      <c r="M20" s="256"/>
      <c r="N20" s="66">
        <f>N17</f>
        <v>25725</v>
      </c>
      <c r="O20" s="66">
        <f>O17</f>
        <v>22745</v>
      </c>
      <c r="P20" s="256"/>
      <c r="Q20" s="66">
        <f>Q17</f>
        <v>23462</v>
      </c>
      <c r="R20" s="66">
        <f>R17</f>
        <v>23462</v>
      </c>
      <c r="S20" s="66">
        <f>S17</f>
        <v>20679</v>
      </c>
    </row>
    <row r="21" spans="1:19" x14ac:dyDescent="0.25">
      <c r="A21" s="423" t="s">
        <v>204</v>
      </c>
      <c r="B21" s="64">
        <f>Q21</f>
        <v>0</v>
      </c>
      <c r="C21" s="64">
        <f>N21</f>
        <v>113</v>
      </c>
      <c r="D21" s="64">
        <f>K21</f>
        <v>107</v>
      </c>
      <c r="E21" s="64">
        <v>179</v>
      </c>
      <c r="F21" s="64">
        <f>R21</f>
        <v>111</v>
      </c>
      <c r="G21" s="64">
        <f>O21</f>
        <v>107</v>
      </c>
      <c r="H21" s="64">
        <f>L21</f>
        <v>117</v>
      </c>
      <c r="I21" s="64">
        <v>97</v>
      </c>
      <c r="K21" s="64">
        <v>107</v>
      </c>
      <c r="L21" s="64">
        <v>117</v>
      </c>
      <c r="N21" s="64">
        <v>113</v>
      </c>
      <c r="O21" s="64">
        <v>107</v>
      </c>
      <c r="Q21" s="64">
        <v>0</v>
      </c>
      <c r="R21" s="64">
        <v>111</v>
      </c>
      <c r="S21" s="64">
        <v>71</v>
      </c>
    </row>
    <row r="22" spans="1:19" ht="18" x14ac:dyDescent="0.4">
      <c r="A22" s="423" t="s">
        <v>160</v>
      </c>
      <c r="B22" s="65">
        <f>Q22</f>
        <v>0</v>
      </c>
      <c r="C22" s="65">
        <f>N22</f>
        <v>188</v>
      </c>
      <c r="D22" s="65">
        <f>K22</f>
        <v>190</v>
      </c>
      <c r="E22" s="65">
        <v>190</v>
      </c>
      <c r="F22" s="65">
        <f>R22</f>
        <v>191</v>
      </c>
      <c r="G22" s="65">
        <f>O22</f>
        <v>192</v>
      </c>
      <c r="H22" s="65">
        <f>L22</f>
        <v>194</v>
      </c>
      <c r="I22" s="65">
        <v>194</v>
      </c>
      <c r="J22" s="255"/>
      <c r="K22" s="65">
        <v>190</v>
      </c>
      <c r="L22" s="65">
        <v>194</v>
      </c>
      <c r="M22" s="255"/>
      <c r="N22" s="65">
        <v>188</v>
      </c>
      <c r="O22" s="65">
        <v>192</v>
      </c>
      <c r="P22" s="255"/>
      <c r="Q22" s="65">
        <v>0</v>
      </c>
      <c r="R22" s="65">
        <v>191</v>
      </c>
      <c r="S22" s="65">
        <v>194</v>
      </c>
    </row>
    <row r="23" spans="1:19" s="155" customFormat="1" ht="18" x14ac:dyDescent="0.4">
      <c r="A23" s="459" t="s">
        <v>268</v>
      </c>
      <c r="B23" s="214">
        <f>SUM(B20:B22)</f>
        <v>23462</v>
      </c>
      <c r="C23" s="214">
        <f t="shared" ref="C23:Q23" si="3">SUM(C20:C22)</f>
        <v>26026</v>
      </c>
      <c r="D23" s="214">
        <f t="shared" si="3"/>
        <v>25203</v>
      </c>
      <c r="E23" s="214">
        <f t="shared" si="3"/>
        <v>24411</v>
      </c>
      <c r="F23" s="214">
        <f t="shared" si="3"/>
        <v>23764</v>
      </c>
      <c r="G23" s="214">
        <f t="shared" si="3"/>
        <v>23044</v>
      </c>
      <c r="H23" s="214">
        <f t="shared" si="3"/>
        <v>22516</v>
      </c>
      <c r="I23" s="214">
        <f>SUM(I20:I22)</f>
        <v>21744</v>
      </c>
      <c r="J23" s="259"/>
      <c r="K23" s="214">
        <f>SUM(K20:K22)</f>
        <v>25203</v>
      </c>
      <c r="L23" s="214">
        <f>SUM(L20:L22)</f>
        <v>22516</v>
      </c>
      <c r="M23" s="259"/>
      <c r="N23" s="214">
        <f t="shared" si="3"/>
        <v>26026</v>
      </c>
      <c r="O23" s="214">
        <f>SUM(O20:O22)</f>
        <v>23044</v>
      </c>
      <c r="P23" s="259"/>
      <c r="Q23" s="214">
        <f t="shared" si="3"/>
        <v>23462</v>
      </c>
      <c r="R23" s="214">
        <f>SUM(R20:R22)</f>
        <v>23764</v>
      </c>
      <c r="S23" s="214">
        <f>SUM(S20:S22)</f>
        <v>20944</v>
      </c>
    </row>
    <row r="24" spans="1:19" s="155" customFormat="1" ht="18" x14ac:dyDescent="0.4">
      <c r="A24" s="206"/>
      <c r="B24" s="214"/>
      <c r="C24" s="214"/>
      <c r="D24" s="214"/>
      <c r="E24" s="214"/>
      <c r="F24" s="214"/>
      <c r="G24" s="214"/>
      <c r="H24" s="214"/>
      <c r="I24" s="214"/>
      <c r="J24" s="259"/>
      <c r="K24" s="214"/>
      <c r="L24" s="214"/>
      <c r="M24" s="259"/>
      <c r="N24" s="214"/>
      <c r="O24" s="214"/>
      <c r="P24" s="259"/>
      <c r="Q24" s="214"/>
      <c r="R24" s="214"/>
      <c r="S24" s="214"/>
    </row>
    <row r="25" spans="1:19" s="215" customFormat="1" ht="18" customHeight="1" x14ac:dyDescent="0.2">
      <c r="A25" s="207" t="s">
        <v>223</v>
      </c>
      <c r="B25" s="412"/>
      <c r="C25" s="412"/>
      <c r="D25" s="412"/>
    </row>
    <row r="26" spans="1:19" ht="17.25" x14ac:dyDescent="0.35">
      <c r="A26" s="207" t="s">
        <v>222</v>
      </c>
      <c r="B26" s="412">
        <f t="shared" ref="B26:I26" si="4">(-B11/B8)*4</f>
        <v>-0.22033041788143828</v>
      </c>
      <c r="C26" s="412">
        <f t="shared" si="4"/>
        <v>8.4477635911025459E-2</v>
      </c>
      <c r="D26" s="412">
        <f t="shared" si="4"/>
        <v>7.8362864986274025E-2</v>
      </c>
      <c r="E26" s="412">
        <f t="shared" si="4"/>
        <v>7.1605148751172104E-2</v>
      </c>
      <c r="F26" s="412">
        <f t="shared" si="4"/>
        <v>8.1600351725653997E-2</v>
      </c>
      <c r="G26" s="412">
        <f t="shared" si="4"/>
        <v>7.6739473091646027E-2</v>
      </c>
      <c r="H26" s="412">
        <f t="shared" si="4"/>
        <v>7.60732764648301E-2</v>
      </c>
      <c r="I26" s="412">
        <f t="shared" si="4"/>
        <v>7.2537356738720443E-2</v>
      </c>
      <c r="J26" s="404"/>
      <c r="K26" s="412">
        <f>(-K11/K8)*2</f>
        <v>7.59526042110647E-2</v>
      </c>
      <c r="L26" s="412">
        <f>(-L11/L8)*2</f>
        <v>7.5729000435224139E-2</v>
      </c>
      <c r="M26" s="405"/>
      <c r="N26" s="412">
        <f>(-N11/N8)*4/3</f>
        <v>8.0527377603500691E-2</v>
      </c>
      <c r="O26" s="412">
        <f>(-O11/O8)*4/3</f>
        <v>7.7953479375211562E-2</v>
      </c>
      <c r="P26" s="405"/>
      <c r="Q26" s="403">
        <f>(-Q11/Q8)</f>
        <v>0</v>
      </c>
      <c r="R26" s="403">
        <f>(-R11/R8)</f>
        <v>8.0903331882586194E-2</v>
      </c>
      <c r="S26" s="403">
        <f>(-S11/S8)</f>
        <v>8.6430473544054642E-2</v>
      </c>
    </row>
    <row r="27" spans="1:19" x14ac:dyDescent="0.25">
      <c r="D27" s="473"/>
    </row>
    <row r="28" spans="1:19" x14ac:dyDescent="0.25">
      <c r="D28" s="473"/>
    </row>
    <row r="29" spans="1:19" x14ac:dyDescent="0.25">
      <c r="D29" s="473"/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&amp;C16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45"/>
  <sheetViews>
    <sheetView zoomScale="85" zoomScaleNormal="85" workbookViewId="0"/>
  </sheetViews>
  <sheetFormatPr defaultRowHeight="12.75" x14ac:dyDescent="0.2"/>
  <cols>
    <col min="1" max="1" width="50.77734375" style="260" customWidth="1"/>
    <col min="2" max="2" width="10.88671875" style="260" hidden="1" customWidth="1"/>
    <col min="3" max="4" width="10.88671875" style="260" customWidth="1"/>
    <col min="5" max="8" width="10.77734375" style="260" customWidth="1"/>
    <col min="9" max="9" width="10.77734375" style="260" hidden="1" customWidth="1"/>
    <col min="10" max="10" width="10.77734375" style="263" hidden="1" customWidth="1"/>
    <col min="11" max="16384" width="8.88671875" style="263"/>
  </cols>
  <sheetData>
    <row r="1" spans="1:10" s="260" customFormat="1" ht="18" x14ac:dyDescent="0.25">
      <c r="A1" s="131" t="str">
        <f>'Cover Page'!$H$10</f>
        <v>American Financial Group, Inc.</v>
      </c>
      <c r="B1" s="138"/>
      <c r="C1" s="138"/>
      <c r="D1" s="138"/>
      <c r="E1" s="138"/>
      <c r="F1" s="138"/>
      <c r="G1" s="138"/>
      <c r="H1" s="138"/>
      <c r="I1" s="138"/>
    </row>
    <row r="2" spans="1:10" s="260" customFormat="1" ht="18" x14ac:dyDescent="0.25">
      <c r="A2" s="261" t="s">
        <v>8</v>
      </c>
      <c r="B2" s="138"/>
      <c r="C2" s="138"/>
      <c r="D2" s="138"/>
      <c r="E2" s="138"/>
      <c r="F2" s="138"/>
      <c r="G2" s="138"/>
      <c r="H2" s="138"/>
      <c r="I2" s="138"/>
    </row>
    <row r="3" spans="1:10" s="260" customFormat="1" ht="15.75" x14ac:dyDescent="0.25">
      <c r="A3" s="16" t="s">
        <v>14</v>
      </c>
      <c r="B3" s="138"/>
      <c r="C3" s="138"/>
      <c r="D3" s="138"/>
      <c r="E3" s="138"/>
      <c r="F3" s="138"/>
      <c r="G3" s="138"/>
      <c r="H3" s="138"/>
      <c r="I3" s="138"/>
    </row>
    <row r="4" spans="1:10" s="260" customFormat="1" ht="15.75" x14ac:dyDescent="0.25">
      <c r="A4" s="93"/>
      <c r="B4" s="93"/>
      <c r="C4" s="93"/>
      <c r="D4" s="93"/>
      <c r="E4" s="93"/>
      <c r="F4" s="93"/>
      <c r="G4" s="93"/>
      <c r="H4" s="93"/>
      <c r="I4" s="93"/>
    </row>
    <row r="5" spans="1:10" s="260" customFormat="1" ht="20.25" x14ac:dyDescent="0.55000000000000004">
      <c r="A5" s="93"/>
      <c r="B5" s="84" t="s">
        <v>384</v>
      </c>
      <c r="C5" s="84" t="s">
        <v>385</v>
      </c>
      <c r="D5" s="84" t="s">
        <v>386</v>
      </c>
      <c r="E5" s="84" t="s">
        <v>387</v>
      </c>
      <c r="F5" s="84" t="s">
        <v>322</v>
      </c>
      <c r="G5" s="84" t="s">
        <v>323</v>
      </c>
      <c r="H5" s="84" t="s">
        <v>324</v>
      </c>
      <c r="I5" s="84" t="s">
        <v>325</v>
      </c>
      <c r="J5" s="84" t="s">
        <v>117</v>
      </c>
    </row>
    <row r="6" spans="1:10" s="260" customFormat="1" ht="15.75" x14ac:dyDescent="0.25">
      <c r="A6" s="93" t="s">
        <v>234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s="260" customFormat="1" ht="15" x14ac:dyDescent="0.2">
      <c r="A7" s="47" t="s">
        <v>175</v>
      </c>
      <c r="B7" s="44">
        <v>0</v>
      </c>
      <c r="C7" s="44">
        <v>38132</v>
      </c>
      <c r="D7" s="44">
        <v>37644</v>
      </c>
      <c r="E7" s="44">
        <v>37384</v>
      </c>
      <c r="F7" s="44">
        <v>36210</v>
      </c>
      <c r="G7" s="44">
        <v>35151</v>
      </c>
      <c r="H7" s="44">
        <v>34843</v>
      </c>
      <c r="I7" s="44">
        <v>32727</v>
      </c>
      <c r="J7" s="44">
        <v>31313</v>
      </c>
    </row>
    <row r="8" spans="1:10" s="260" customFormat="1" ht="15" x14ac:dyDescent="0.2">
      <c r="A8" s="47" t="s">
        <v>176</v>
      </c>
      <c r="B8" s="47">
        <v>0</v>
      </c>
      <c r="C8" s="47">
        <v>3151</v>
      </c>
      <c r="D8" s="47">
        <v>3075</v>
      </c>
      <c r="E8" s="47">
        <v>3046</v>
      </c>
      <c r="F8" s="47">
        <v>3238</v>
      </c>
      <c r="G8" s="47">
        <v>3134</v>
      </c>
      <c r="H8" s="47">
        <v>3107</v>
      </c>
      <c r="I8" s="47">
        <v>2969</v>
      </c>
      <c r="J8" s="47">
        <v>3157</v>
      </c>
    </row>
    <row r="9" spans="1:10" s="260" customFormat="1" ht="15" x14ac:dyDescent="0.2">
      <c r="A9" s="47" t="s">
        <v>177</v>
      </c>
      <c r="B9" s="47">
        <v>0</v>
      </c>
      <c r="C9" s="47">
        <v>604</v>
      </c>
      <c r="D9" s="47">
        <v>499</v>
      </c>
      <c r="E9" s="47">
        <v>475</v>
      </c>
      <c r="F9" s="47">
        <v>469</v>
      </c>
      <c r="G9" s="47">
        <v>587</v>
      </c>
      <c r="H9" s="47">
        <v>489</v>
      </c>
      <c r="I9" s="47">
        <v>438</v>
      </c>
      <c r="J9" s="47">
        <v>408</v>
      </c>
    </row>
    <row r="10" spans="1:10" s="260" customFormat="1" ht="15" x14ac:dyDescent="0.2">
      <c r="A10" s="47" t="s">
        <v>180</v>
      </c>
      <c r="B10" s="47">
        <v>0</v>
      </c>
      <c r="C10" s="47">
        <v>976</v>
      </c>
      <c r="D10" s="47">
        <v>959</v>
      </c>
      <c r="E10" s="47">
        <v>864</v>
      </c>
      <c r="F10" s="47">
        <v>889</v>
      </c>
      <c r="G10" s="47">
        <v>901</v>
      </c>
      <c r="H10" s="47">
        <v>902</v>
      </c>
      <c r="I10" s="47">
        <v>735</v>
      </c>
      <c r="J10" s="47">
        <v>739</v>
      </c>
    </row>
    <row r="11" spans="1:10" s="260" customFormat="1" ht="15" x14ac:dyDescent="0.2">
      <c r="A11" s="47" t="s">
        <v>161</v>
      </c>
      <c r="B11" s="96">
        <v>0</v>
      </c>
      <c r="C11" s="96">
        <v>993</v>
      </c>
      <c r="D11" s="96">
        <v>965</v>
      </c>
      <c r="E11" s="96">
        <v>756</v>
      </c>
      <c r="F11" s="96">
        <v>821</v>
      </c>
      <c r="G11" s="96">
        <v>858</v>
      </c>
      <c r="H11" s="96">
        <v>806</v>
      </c>
      <c r="I11" s="96">
        <v>890</v>
      </c>
      <c r="J11" s="96">
        <v>975</v>
      </c>
    </row>
    <row r="12" spans="1:10" s="260" customFormat="1" ht="15" x14ac:dyDescent="0.2">
      <c r="A12" s="47" t="s">
        <v>78</v>
      </c>
      <c r="B12" s="47">
        <v>0</v>
      </c>
      <c r="C12" s="47">
        <v>3613</v>
      </c>
      <c r="D12" s="47">
        <v>3629</v>
      </c>
      <c r="E12" s="47">
        <v>3279</v>
      </c>
      <c r="F12" s="47">
        <v>3108</v>
      </c>
      <c r="G12" s="47">
        <v>2946</v>
      </c>
      <c r="H12" s="47">
        <v>2799</v>
      </c>
      <c r="I12" s="47">
        <v>2723</v>
      </c>
      <c r="J12" s="47">
        <v>2888</v>
      </c>
    </row>
    <row r="13" spans="1:10" s="260" customFormat="1" ht="15" x14ac:dyDescent="0.2">
      <c r="A13" s="47" t="s">
        <v>178</v>
      </c>
      <c r="B13" s="47">
        <v>0</v>
      </c>
      <c r="C13" s="47">
        <v>1241</v>
      </c>
      <c r="D13" s="47">
        <v>660</v>
      </c>
      <c r="E13" s="47">
        <v>641</v>
      </c>
      <c r="F13" s="47">
        <v>910</v>
      </c>
      <c r="G13" s="47">
        <v>1140</v>
      </c>
      <c r="H13" s="47">
        <v>527</v>
      </c>
      <c r="I13" s="47">
        <v>524</v>
      </c>
      <c r="J13" s="47">
        <v>854</v>
      </c>
    </row>
    <row r="14" spans="1:10" s="260" customFormat="1" ht="15" x14ac:dyDescent="0.2">
      <c r="A14" s="47" t="s">
        <v>179</v>
      </c>
      <c r="B14" s="47">
        <v>0</v>
      </c>
      <c r="C14" s="47">
        <v>595</v>
      </c>
      <c r="D14" s="47">
        <v>655</v>
      </c>
      <c r="E14" s="47">
        <v>667</v>
      </c>
      <c r="F14" s="47">
        <v>662</v>
      </c>
      <c r="G14" s="47">
        <v>649</v>
      </c>
      <c r="H14" s="47">
        <v>681</v>
      </c>
      <c r="I14" s="47">
        <v>666</v>
      </c>
      <c r="J14" s="47">
        <v>665</v>
      </c>
    </row>
    <row r="15" spans="1:10" s="260" customFormat="1" ht="15" x14ac:dyDescent="0.2">
      <c r="A15" s="47" t="s">
        <v>79</v>
      </c>
      <c r="B15" s="47">
        <v>0</v>
      </c>
      <c r="C15" s="47">
        <v>1051</v>
      </c>
      <c r="D15" s="47">
        <v>1137</v>
      </c>
      <c r="E15" s="47">
        <v>994</v>
      </c>
      <c r="F15" s="47">
        <v>1027</v>
      </c>
      <c r="G15" s="47">
        <v>985</v>
      </c>
      <c r="H15" s="47">
        <v>1001</v>
      </c>
      <c r="I15" s="47">
        <v>913</v>
      </c>
      <c r="J15" s="47">
        <v>903</v>
      </c>
    </row>
    <row r="16" spans="1:10" s="260" customFormat="1" ht="17.25" x14ac:dyDescent="0.35">
      <c r="A16" s="47" t="s">
        <v>9</v>
      </c>
      <c r="B16" s="48">
        <v>0</v>
      </c>
      <c r="C16" s="48">
        <v>201</v>
      </c>
      <c r="D16" s="48">
        <v>201</v>
      </c>
      <c r="E16" s="48">
        <v>201</v>
      </c>
      <c r="F16" s="48">
        <v>201</v>
      </c>
      <c r="G16" s="48">
        <v>201</v>
      </c>
      <c r="H16" s="48">
        <v>200</v>
      </c>
      <c r="I16" s="48">
        <v>185</v>
      </c>
      <c r="J16" s="48">
        <v>185</v>
      </c>
    </row>
    <row r="17" spans="1:16" s="260" customFormat="1" ht="18" x14ac:dyDescent="0.4">
      <c r="A17" s="93" t="s">
        <v>80</v>
      </c>
      <c r="B17" s="170">
        <f t="shared" ref="B17" si="0">SUM(B7:B10)+B11+SUM(B12:B16)</f>
        <v>0</v>
      </c>
      <c r="C17" s="170">
        <f t="shared" ref="C17:E17" si="1">SUM(C7:C10)+C11+SUM(C12:C16)</f>
        <v>50557</v>
      </c>
      <c r="D17" s="170">
        <f t="shared" si="1"/>
        <v>49424</v>
      </c>
      <c r="E17" s="170">
        <f t="shared" si="1"/>
        <v>48307</v>
      </c>
      <c r="F17" s="170">
        <f t="shared" ref="F17:J17" si="2">SUM(F7:F10)+F11+SUM(F12:F16)</f>
        <v>47535</v>
      </c>
      <c r="G17" s="170">
        <f t="shared" si="2"/>
        <v>46552</v>
      </c>
      <c r="H17" s="170">
        <f t="shared" si="2"/>
        <v>45355</v>
      </c>
      <c r="I17" s="170">
        <f t="shared" si="2"/>
        <v>42770</v>
      </c>
      <c r="J17" s="170">
        <f t="shared" si="2"/>
        <v>42087</v>
      </c>
    </row>
    <row r="18" spans="1:16" s="260" customFormat="1" ht="15" x14ac:dyDescent="0.2">
      <c r="A18" s="47"/>
      <c r="B18" s="96"/>
      <c r="C18" s="96"/>
      <c r="D18" s="96"/>
      <c r="E18" s="96"/>
      <c r="F18" s="96"/>
      <c r="G18" s="96"/>
      <c r="H18" s="96"/>
      <c r="I18" s="96"/>
      <c r="J18" s="96"/>
    </row>
    <row r="19" spans="1:16" s="260" customFormat="1" ht="15.75" x14ac:dyDescent="0.25">
      <c r="A19" s="93" t="s">
        <v>235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6" s="260" customFormat="1" ht="15" x14ac:dyDescent="0.2">
      <c r="A20" s="47" t="s">
        <v>81</v>
      </c>
      <c r="B20" s="44">
        <v>0</v>
      </c>
      <c r="C20" s="44">
        <v>8061</v>
      </c>
      <c r="D20" s="44">
        <v>7744</v>
      </c>
      <c r="E20" s="44">
        <v>7636</v>
      </c>
      <c r="F20" s="44">
        <v>7872</v>
      </c>
      <c r="G20" s="44">
        <v>7645</v>
      </c>
      <c r="H20" s="44">
        <v>7370</v>
      </c>
      <c r="I20" s="44">
        <v>6134</v>
      </c>
      <c r="J20" s="44">
        <v>6410</v>
      </c>
    </row>
    <row r="21" spans="1:16" s="260" customFormat="1" ht="15" x14ac:dyDescent="0.2">
      <c r="A21" s="47" t="s">
        <v>82</v>
      </c>
      <c r="B21" s="47">
        <v>0</v>
      </c>
      <c r="C21" s="47">
        <v>2238</v>
      </c>
      <c r="D21" s="47">
        <v>2004</v>
      </c>
      <c r="E21" s="47">
        <v>1936</v>
      </c>
      <c r="F21" s="47">
        <v>1956</v>
      </c>
      <c r="G21" s="47">
        <v>2114</v>
      </c>
      <c r="H21" s="47">
        <v>1911</v>
      </c>
      <c r="I21" s="47">
        <v>1788</v>
      </c>
      <c r="J21" s="47">
        <v>1757</v>
      </c>
    </row>
    <row r="22" spans="1:16" s="260" customFormat="1" ht="15" x14ac:dyDescent="0.2">
      <c r="A22" s="47" t="s">
        <v>83</v>
      </c>
      <c r="B22" s="47">
        <v>0</v>
      </c>
      <c r="C22" s="47">
        <v>26026</v>
      </c>
      <c r="D22" s="47">
        <v>25203</v>
      </c>
      <c r="E22" s="47">
        <v>24411</v>
      </c>
      <c r="F22" s="47">
        <v>23764</v>
      </c>
      <c r="G22" s="47">
        <v>23044</v>
      </c>
      <c r="H22" s="47">
        <v>22516</v>
      </c>
      <c r="I22" s="47">
        <v>21744</v>
      </c>
      <c r="J22" s="47">
        <v>20944</v>
      </c>
    </row>
    <row r="23" spans="1:16" s="260" customFormat="1" ht="15" x14ac:dyDescent="0.2">
      <c r="A23" s="47" t="s">
        <v>181</v>
      </c>
      <c r="B23" s="47">
        <v>0</v>
      </c>
      <c r="C23" s="47">
        <v>2159</v>
      </c>
      <c r="D23" s="47">
        <v>2156</v>
      </c>
      <c r="E23" s="47">
        <v>2195</v>
      </c>
      <c r="F23" s="47">
        <v>2175</v>
      </c>
      <c r="G23" s="47">
        <v>2098</v>
      </c>
      <c r="H23" s="47">
        <v>2082</v>
      </c>
      <c r="I23" s="47">
        <v>2039</v>
      </c>
      <c r="J23" s="47">
        <v>2008</v>
      </c>
    </row>
    <row r="24" spans="1:16" s="260" customFormat="1" ht="15" x14ac:dyDescent="0.2">
      <c r="A24" s="47" t="s">
        <v>182</v>
      </c>
      <c r="B24" s="47">
        <v>0</v>
      </c>
      <c r="C24" s="47">
        <v>724</v>
      </c>
      <c r="D24" s="47">
        <v>511</v>
      </c>
      <c r="E24" s="47">
        <v>494</v>
      </c>
      <c r="F24" s="47">
        <v>645</v>
      </c>
      <c r="G24" s="47">
        <v>673</v>
      </c>
      <c r="H24" s="47">
        <v>445</v>
      </c>
      <c r="I24" s="47">
        <v>400</v>
      </c>
      <c r="J24" s="47">
        <v>508</v>
      </c>
    </row>
    <row r="25" spans="1:16" s="260" customFormat="1" ht="15" x14ac:dyDescent="0.2">
      <c r="A25" s="47" t="s">
        <v>85</v>
      </c>
      <c r="B25" s="47">
        <v>0</v>
      </c>
      <c r="C25" s="47">
        <v>3287</v>
      </c>
      <c r="D25" s="47">
        <v>3309</v>
      </c>
      <c r="E25" s="47">
        <v>2952</v>
      </c>
      <c r="F25" s="47">
        <v>2819</v>
      </c>
      <c r="G25" s="47">
        <v>2625</v>
      </c>
      <c r="H25" s="47">
        <v>2499</v>
      </c>
      <c r="I25" s="47">
        <v>2413</v>
      </c>
      <c r="J25" s="47">
        <v>2567</v>
      </c>
    </row>
    <row r="26" spans="1:16" s="260" customFormat="1" ht="15" x14ac:dyDescent="0.2">
      <c r="A26" s="159" t="s">
        <v>84</v>
      </c>
      <c r="B26" s="47">
        <v>0</v>
      </c>
      <c r="C26" s="47">
        <v>880</v>
      </c>
      <c r="D26" s="47">
        <v>1024</v>
      </c>
      <c r="E26" s="47">
        <v>1061</v>
      </c>
      <c r="F26" s="47">
        <v>1061</v>
      </c>
      <c r="G26" s="47">
        <v>1062</v>
      </c>
      <c r="H26" s="47">
        <v>912</v>
      </c>
      <c r="I26" s="47">
        <v>913</v>
      </c>
      <c r="J26" s="47">
        <v>913</v>
      </c>
    </row>
    <row r="27" spans="1:16" ht="15.75" customHeight="1" x14ac:dyDescent="0.2">
      <c r="A27" s="159" t="s">
        <v>183</v>
      </c>
      <c r="B27" s="47">
        <v>0</v>
      </c>
      <c r="C27" s="47">
        <v>595</v>
      </c>
      <c r="D27" s="47">
        <v>655</v>
      </c>
      <c r="E27" s="47">
        <v>667</v>
      </c>
      <c r="F27" s="47">
        <v>662</v>
      </c>
      <c r="G27" s="47">
        <v>649</v>
      </c>
      <c r="H27" s="47">
        <v>681</v>
      </c>
      <c r="I27" s="47">
        <v>666</v>
      </c>
      <c r="J27" s="47">
        <v>665</v>
      </c>
      <c r="K27" s="260"/>
      <c r="L27" s="260"/>
      <c r="M27" s="260"/>
      <c r="N27" s="260"/>
      <c r="O27" s="260"/>
      <c r="P27" s="260"/>
    </row>
    <row r="28" spans="1:16" s="260" customFormat="1" ht="17.25" x14ac:dyDescent="0.35">
      <c r="A28" s="47" t="s">
        <v>86</v>
      </c>
      <c r="B28" s="99">
        <v>0</v>
      </c>
      <c r="C28" s="99">
        <v>1681</v>
      </c>
      <c r="D28" s="99">
        <v>1834</v>
      </c>
      <c r="E28" s="99">
        <v>1855</v>
      </c>
      <c r="F28" s="99">
        <v>1527</v>
      </c>
      <c r="G28" s="99">
        <v>1564</v>
      </c>
      <c r="H28" s="99">
        <v>1781</v>
      </c>
      <c r="I28" s="99">
        <v>1700</v>
      </c>
      <c r="J28" s="99">
        <v>1546</v>
      </c>
    </row>
    <row r="29" spans="1:16" s="260" customFormat="1" ht="15.75" x14ac:dyDescent="0.25">
      <c r="A29" s="93" t="s">
        <v>87</v>
      </c>
      <c r="B29" s="264">
        <f t="shared" ref="B29" si="3">SUM(B20:B28)</f>
        <v>0</v>
      </c>
      <c r="C29" s="264">
        <f t="shared" ref="C29:E29" si="4">SUM(C20:C28)</f>
        <v>45651</v>
      </c>
      <c r="D29" s="264">
        <f t="shared" si="4"/>
        <v>44440</v>
      </c>
      <c r="E29" s="264">
        <f t="shared" si="4"/>
        <v>43207</v>
      </c>
      <c r="F29" s="264">
        <f t="shared" ref="F29:J29" si="5">SUM(F20:F28)</f>
        <v>42481</v>
      </c>
      <c r="G29" s="264">
        <f t="shared" si="5"/>
        <v>41474</v>
      </c>
      <c r="H29" s="264">
        <f t="shared" si="5"/>
        <v>40197</v>
      </c>
      <c r="I29" s="264">
        <f t="shared" si="5"/>
        <v>37797</v>
      </c>
      <c r="J29" s="264">
        <f t="shared" si="5"/>
        <v>37318</v>
      </c>
    </row>
    <row r="30" spans="1:16" s="260" customFormat="1" ht="15" x14ac:dyDescent="0.2">
      <c r="A30" s="47"/>
      <c r="B30" s="96"/>
      <c r="C30" s="96"/>
      <c r="D30" s="96"/>
      <c r="E30" s="96"/>
      <c r="F30" s="96"/>
      <c r="G30" s="96"/>
      <c r="H30" s="96"/>
      <c r="I30" s="96"/>
      <c r="J30" s="96"/>
    </row>
    <row r="31" spans="1:16" s="260" customFormat="1" ht="15.75" x14ac:dyDescent="0.25">
      <c r="A31" s="93" t="s">
        <v>236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6" s="260" customFormat="1" ht="15" x14ac:dyDescent="0.2">
      <c r="A32" s="47" t="s">
        <v>89</v>
      </c>
      <c r="B32" s="44">
        <v>0</v>
      </c>
      <c r="C32" s="44">
        <v>87</v>
      </c>
      <c r="D32" s="44">
        <v>88</v>
      </c>
      <c r="E32" s="44">
        <v>88</v>
      </c>
      <c r="F32" s="44">
        <v>88</v>
      </c>
      <c r="G32" s="44">
        <v>88</v>
      </c>
      <c r="H32" s="44">
        <v>90</v>
      </c>
      <c r="I32" s="44">
        <v>90</v>
      </c>
      <c r="J32" s="44">
        <v>90</v>
      </c>
    </row>
    <row r="33" spans="1:10" s="260" customFormat="1" ht="15" x14ac:dyDescent="0.2">
      <c r="A33" s="47" t="s">
        <v>90</v>
      </c>
      <c r="B33" s="47">
        <v>0</v>
      </c>
      <c r="C33" s="47">
        <v>1195</v>
      </c>
      <c r="D33" s="47">
        <v>1183</v>
      </c>
      <c r="E33" s="47">
        <v>1173</v>
      </c>
      <c r="F33" s="47">
        <v>1152</v>
      </c>
      <c r="G33" s="47">
        <v>1150</v>
      </c>
      <c r="H33" s="47">
        <v>1152</v>
      </c>
      <c r="I33" s="47">
        <v>1138</v>
      </c>
      <c r="J33" s="47">
        <v>1123</v>
      </c>
    </row>
    <row r="34" spans="1:10" s="260" customFormat="1" ht="15" x14ac:dyDescent="0.2">
      <c r="A34" s="47" t="s">
        <v>91</v>
      </c>
      <c r="B34" s="47">
        <v>0</v>
      </c>
      <c r="C34" s="47">
        <v>0</v>
      </c>
      <c r="D34" s="47">
        <v>0</v>
      </c>
      <c r="E34" s="47">
        <v>0</v>
      </c>
      <c r="F34" s="47">
        <v>-2</v>
      </c>
      <c r="G34" s="47">
        <v>2</v>
      </c>
      <c r="H34" s="47">
        <v>31</v>
      </c>
      <c r="I34" s="47">
        <v>49</v>
      </c>
      <c r="J34" s="47">
        <v>49</v>
      </c>
    </row>
    <row r="35" spans="1:10" s="260" customFormat="1" ht="15" x14ac:dyDescent="0.2">
      <c r="A35" s="47" t="s">
        <v>184</v>
      </c>
      <c r="B35" s="47">
        <v>0</v>
      </c>
      <c r="C35" s="47">
        <v>2981</v>
      </c>
      <c r="D35" s="47">
        <v>2968</v>
      </c>
      <c r="E35" s="47">
        <v>2886</v>
      </c>
      <c r="F35" s="47">
        <v>2914</v>
      </c>
      <c r="G35" s="47">
        <v>2946</v>
      </c>
      <c r="H35" s="47">
        <v>2913</v>
      </c>
      <c r="I35" s="47">
        <v>2842</v>
      </c>
      <c r="J35" s="47">
        <v>2777</v>
      </c>
    </row>
    <row r="36" spans="1:10" s="260" customFormat="1" ht="15" x14ac:dyDescent="0.2">
      <c r="A36" s="47" t="s">
        <v>142</v>
      </c>
      <c r="B36" s="47">
        <v>0</v>
      </c>
      <c r="C36" s="47">
        <v>445</v>
      </c>
      <c r="D36" s="47">
        <v>457</v>
      </c>
      <c r="E36" s="47">
        <v>656</v>
      </c>
      <c r="F36" s="47">
        <v>604</v>
      </c>
      <c r="G36" s="47">
        <v>602</v>
      </c>
      <c r="H36" s="47">
        <v>656</v>
      </c>
      <c r="I36" s="47">
        <v>556</v>
      </c>
      <c r="J36" s="47">
        <v>441</v>
      </c>
    </row>
    <row r="37" spans="1:10" s="260" customFormat="1" ht="15" x14ac:dyDescent="0.2">
      <c r="A37" s="47" t="s">
        <v>143</v>
      </c>
      <c r="B37" s="47">
        <v>0</v>
      </c>
      <c r="C37" s="47">
        <v>44</v>
      </c>
      <c r="D37" s="47">
        <v>130</v>
      </c>
      <c r="E37" s="47">
        <v>143</v>
      </c>
      <c r="F37" s="47">
        <v>139</v>
      </c>
      <c r="G37" s="47">
        <v>124</v>
      </c>
      <c r="H37" s="47">
        <v>149</v>
      </c>
      <c r="I37" s="47">
        <v>129</v>
      </c>
      <c r="J37" s="47">
        <v>121</v>
      </c>
    </row>
    <row r="38" spans="1:10" s="260" customFormat="1" ht="17.25" x14ac:dyDescent="0.35">
      <c r="A38" s="47" t="s">
        <v>92</v>
      </c>
      <c r="B38" s="99">
        <v>0</v>
      </c>
      <c r="C38" s="99">
        <v>-28</v>
      </c>
      <c r="D38" s="99">
        <v>-24</v>
      </c>
      <c r="E38" s="99">
        <v>-23</v>
      </c>
      <c r="F38" s="99">
        <v>-16</v>
      </c>
      <c r="G38" s="99">
        <v>-8</v>
      </c>
      <c r="H38" s="99">
        <v>-6</v>
      </c>
      <c r="I38" s="99">
        <v>-8</v>
      </c>
      <c r="J38" s="99">
        <v>-2</v>
      </c>
    </row>
    <row r="39" spans="1:10" s="260" customFormat="1" ht="15.75" x14ac:dyDescent="0.25">
      <c r="A39" s="93" t="s">
        <v>88</v>
      </c>
      <c r="B39" s="93">
        <f t="shared" ref="B39" si="6">SUM(B32:B38)</f>
        <v>0</v>
      </c>
      <c r="C39" s="93">
        <f t="shared" ref="C39:E39" si="7">SUM(C32:C38)</f>
        <v>4724</v>
      </c>
      <c r="D39" s="93">
        <f t="shared" si="7"/>
        <v>4802</v>
      </c>
      <c r="E39" s="93">
        <f t="shared" si="7"/>
        <v>4923</v>
      </c>
      <c r="F39" s="93">
        <f t="shared" ref="F39:J39" si="8">SUM(F32:F38)</f>
        <v>4879</v>
      </c>
      <c r="G39" s="93">
        <f t="shared" si="8"/>
        <v>4904</v>
      </c>
      <c r="H39" s="93">
        <f t="shared" si="8"/>
        <v>4985</v>
      </c>
      <c r="I39" s="93">
        <f t="shared" si="8"/>
        <v>4796</v>
      </c>
      <c r="J39" s="93">
        <f t="shared" si="8"/>
        <v>4599</v>
      </c>
    </row>
    <row r="40" spans="1:10" s="260" customFormat="1" ht="15.75" x14ac:dyDescent="0.25">
      <c r="A40" s="47"/>
      <c r="B40" s="151"/>
      <c r="C40" s="151"/>
      <c r="D40" s="151"/>
      <c r="E40" s="151"/>
      <c r="F40" s="151"/>
      <c r="G40" s="151"/>
      <c r="H40" s="151"/>
      <c r="I40" s="151"/>
      <c r="J40" s="151"/>
    </row>
    <row r="41" spans="1:10" s="260" customFormat="1" ht="20.25" x14ac:dyDescent="0.55000000000000004">
      <c r="A41" s="93" t="s">
        <v>122</v>
      </c>
      <c r="B41" s="262">
        <v>0</v>
      </c>
      <c r="C41" s="262">
        <v>182</v>
      </c>
      <c r="D41" s="262">
        <v>182</v>
      </c>
      <c r="E41" s="262">
        <v>177</v>
      </c>
      <c r="F41" s="262">
        <v>175</v>
      </c>
      <c r="G41" s="262">
        <v>174</v>
      </c>
      <c r="H41" s="262">
        <v>173</v>
      </c>
      <c r="I41" s="262">
        <v>177</v>
      </c>
      <c r="J41" s="262">
        <v>170</v>
      </c>
    </row>
    <row r="42" spans="1:10" s="260" customFormat="1" ht="18" x14ac:dyDescent="0.4">
      <c r="A42" s="93" t="s">
        <v>123</v>
      </c>
      <c r="B42" s="170">
        <f t="shared" ref="B42" si="9">B39+B41+B29</f>
        <v>0</v>
      </c>
      <c r="C42" s="170">
        <f t="shared" ref="C42:E42" si="10">C39+C41+C29</f>
        <v>50557</v>
      </c>
      <c r="D42" s="170">
        <f t="shared" si="10"/>
        <v>49424</v>
      </c>
      <c r="E42" s="170">
        <f t="shared" si="10"/>
        <v>48307</v>
      </c>
      <c r="F42" s="170">
        <f t="shared" ref="F42:J42" si="11">F39+F41+F29</f>
        <v>47535</v>
      </c>
      <c r="G42" s="170">
        <f t="shared" si="11"/>
        <v>46552</v>
      </c>
      <c r="H42" s="170">
        <f t="shared" si="11"/>
        <v>45355</v>
      </c>
      <c r="I42" s="170">
        <f t="shared" si="11"/>
        <v>42770</v>
      </c>
      <c r="J42" s="170">
        <f t="shared" si="11"/>
        <v>42087</v>
      </c>
    </row>
    <row r="43" spans="1:10" s="260" customFormat="1" ht="15.75" x14ac:dyDescent="0.25">
      <c r="A43" s="93"/>
      <c r="B43" s="151"/>
      <c r="C43" s="151"/>
      <c r="D43" s="151"/>
      <c r="E43" s="151"/>
      <c r="F43" s="151"/>
      <c r="G43" s="151"/>
      <c r="H43" s="151"/>
      <c r="I43" s="151"/>
      <c r="J43" s="151"/>
    </row>
    <row r="44" spans="1:10" ht="14.25" x14ac:dyDescent="0.2">
      <c r="A44" s="466"/>
    </row>
    <row r="45" spans="1:10" ht="14.25" x14ac:dyDescent="0.2">
      <c r="A45" s="466"/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&amp;C17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41"/>
  <sheetViews>
    <sheetView zoomScale="85" zoomScaleNormal="85" workbookViewId="0"/>
  </sheetViews>
  <sheetFormatPr defaultRowHeight="18" customHeight="1" x14ac:dyDescent="0.2"/>
  <cols>
    <col min="1" max="1" width="60.77734375" style="260" customWidth="1"/>
    <col min="2" max="2" width="10.88671875" style="260" hidden="1" customWidth="1"/>
    <col min="3" max="4" width="10.88671875" style="260" customWidth="1"/>
    <col min="5" max="6" width="10.77734375" style="260" customWidth="1"/>
    <col min="7" max="8" width="10.77734375" style="263" customWidth="1"/>
    <col min="9" max="10" width="10.77734375" style="263" hidden="1" customWidth="1"/>
    <col min="11" max="16384" width="8.88671875" style="263"/>
  </cols>
  <sheetData>
    <row r="1" spans="1:10" s="260" customFormat="1" x14ac:dyDescent="0.25">
      <c r="A1" s="131" t="str">
        <f>'Cover Page'!$H$10</f>
        <v>American Financial Group, Inc.</v>
      </c>
      <c r="B1" s="138"/>
      <c r="C1" s="138"/>
      <c r="D1" s="138"/>
      <c r="E1" s="138"/>
      <c r="F1" s="138"/>
    </row>
    <row r="2" spans="1:10" s="260" customFormat="1" x14ac:dyDescent="0.25">
      <c r="A2" s="261" t="s">
        <v>252</v>
      </c>
      <c r="B2" s="138"/>
      <c r="C2" s="138"/>
      <c r="D2" s="138"/>
      <c r="E2" s="138"/>
      <c r="F2" s="138"/>
    </row>
    <row r="3" spans="1:10" s="260" customFormat="1" ht="15.75" x14ac:dyDescent="0.25">
      <c r="A3" s="16" t="s">
        <v>173</v>
      </c>
      <c r="B3" s="138"/>
      <c r="C3" s="138"/>
      <c r="D3" s="138"/>
      <c r="E3" s="138"/>
      <c r="F3" s="138"/>
    </row>
    <row r="4" spans="1:10" s="260" customFormat="1" ht="15" x14ac:dyDescent="0.2">
      <c r="A4" s="16"/>
      <c r="B4" s="140"/>
      <c r="C4" s="140"/>
      <c r="D4" s="140"/>
      <c r="E4" s="140"/>
      <c r="F4" s="140"/>
    </row>
    <row r="5" spans="1:10" s="260" customFormat="1" ht="20.25" x14ac:dyDescent="0.55000000000000004">
      <c r="A5" s="93"/>
      <c r="B5" s="84" t="s">
        <v>384</v>
      </c>
      <c r="C5" s="84" t="s">
        <v>385</v>
      </c>
      <c r="D5" s="84" t="s">
        <v>386</v>
      </c>
      <c r="E5" s="84" t="s">
        <v>387</v>
      </c>
      <c r="F5" s="84" t="s">
        <v>322</v>
      </c>
      <c r="G5" s="84" t="s">
        <v>323</v>
      </c>
      <c r="H5" s="84" t="s">
        <v>324</v>
      </c>
      <c r="I5" s="84" t="s">
        <v>325</v>
      </c>
      <c r="J5" s="84" t="s">
        <v>117</v>
      </c>
    </row>
    <row r="6" spans="1:10" s="260" customFormat="1" ht="18" customHeight="1" x14ac:dyDescent="0.25">
      <c r="A6" s="265"/>
      <c r="B6" s="201"/>
      <c r="C6" s="201"/>
      <c r="D6" s="201"/>
      <c r="E6" s="201"/>
      <c r="F6" s="201"/>
      <c r="G6" s="201"/>
      <c r="H6" s="201"/>
      <c r="I6" s="201"/>
      <c r="J6" s="201"/>
    </row>
    <row r="7" spans="1:10" s="260" customFormat="1" ht="18" customHeight="1" x14ac:dyDescent="0.2">
      <c r="A7" s="266" t="s">
        <v>162</v>
      </c>
      <c r="B7" s="44">
        <f>'Pg 17 Balance Sheet'!B39</f>
        <v>0</v>
      </c>
      <c r="C7" s="44">
        <f>'Pg 17 Balance Sheet'!C39</f>
        <v>4724</v>
      </c>
      <c r="D7" s="44">
        <f>'Pg 17 Balance Sheet'!D39</f>
        <v>4802</v>
      </c>
      <c r="E7" s="44">
        <f>'Pg 17 Balance Sheet'!E39</f>
        <v>4923</v>
      </c>
      <c r="F7" s="44">
        <f>'Pg 17 Balance Sheet'!F39</f>
        <v>4879</v>
      </c>
      <c r="G7" s="44">
        <f>'Pg 17 Balance Sheet'!G39</f>
        <v>4904</v>
      </c>
      <c r="H7" s="44">
        <f>'Pg 17 Balance Sheet'!H39</f>
        <v>4985</v>
      </c>
      <c r="I7" s="44">
        <f>'Pg 17 Balance Sheet'!I39</f>
        <v>4796</v>
      </c>
      <c r="J7" s="44">
        <f>'Pg 17 Balance Sheet'!J39</f>
        <v>4599</v>
      </c>
    </row>
    <row r="8" spans="1:10" s="260" customFormat="1" ht="18" customHeight="1" x14ac:dyDescent="0.35">
      <c r="A8" s="266" t="s">
        <v>91</v>
      </c>
      <c r="B8" s="48">
        <f>-'Pg 17 Balance Sheet'!B34</f>
        <v>0</v>
      </c>
      <c r="C8" s="48">
        <f>-'Pg 17 Balance Sheet'!C34</f>
        <v>0</v>
      </c>
      <c r="D8" s="48">
        <f>-'Pg 17 Balance Sheet'!D34</f>
        <v>0</v>
      </c>
      <c r="E8" s="48">
        <f>-'Pg 17 Balance Sheet'!E34</f>
        <v>0</v>
      </c>
      <c r="F8" s="48">
        <f>-'Pg 17 Balance Sheet'!F34</f>
        <v>2</v>
      </c>
      <c r="G8" s="48">
        <f>-'Pg 17 Balance Sheet'!G34</f>
        <v>-2</v>
      </c>
      <c r="H8" s="48">
        <f>-'Pg 17 Balance Sheet'!H34</f>
        <v>-31</v>
      </c>
      <c r="I8" s="48">
        <f>-'Pg 17 Balance Sheet'!I34</f>
        <v>-49</v>
      </c>
      <c r="J8" s="48">
        <f>-'Pg 17 Balance Sheet'!J34</f>
        <v>-49</v>
      </c>
    </row>
    <row r="9" spans="1:10" s="268" customFormat="1" ht="18" customHeight="1" x14ac:dyDescent="0.25">
      <c r="A9" s="267" t="s">
        <v>163</v>
      </c>
      <c r="B9" s="93">
        <f t="shared" ref="B9:I9" si="0">SUM(B7:B8)</f>
        <v>0</v>
      </c>
      <c r="C9" s="93">
        <f t="shared" si="0"/>
        <v>4724</v>
      </c>
      <c r="D9" s="93">
        <f t="shared" si="0"/>
        <v>4802</v>
      </c>
      <c r="E9" s="93">
        <f t="shared" si="0"/>
        <v>4923</v>
      </c>
      <c r="F9" s="93">
        <f t="shared" si="0"/>
        <v>4881</v>
      </c>
      <c r="G9" s="93">
        <f t="shared" si="0"/>
        <v>4902</v>
      </c>
      <c r="H9" s="93">
        <f t="shared" si="0"/>
        <v>4954</v>
      </c>
      <c r="I9" s="93">
        <f t="shared" si="0"/>
        <v>4747</v>
      </c>
      <c r="J9" s="93">
        <f>SUM(J7:J8)</f>
        <v>4550</v>
      </c>
    </row>
    <row r="10" spans="1:10" s="260" customFormat="1" ht="18" customHeight="1" x14ac:dyDescent="0.35">
      <c r="A10" s="266" t="s">
        <v>93</v>
      </c>
      <c r="B10" s="48">
        <f>-'Pg 17 Balance Sheet'!B36</f>
        <v>0</v>
      </c>
      <c r="C10" s="48">
        <f>-'Pg 17 Balance Sheet'!C36</f>
        <v>-445</v>
      </c>
      <c r="D10" s="48">
        <f>-'Pg 17 Balance Sheet'!D36</f>
        <v>-457</v>
      </c>
      <c r="E10" s="48">
        <f>-'Pg 17 Balance Sheet'!E36</f>
        <v>-656</v>
      </c>
      <c r="F10" s="48">
        <f>-'Pg 17 Balance Sheet'!F36</f>
        <v>-604</v>
      </c>
      <c r="G10" s="48">
        <f>-'Pg 17 Balance Sheet'!G36</f>
        <v>-602</v>
      </c>
      <c r="H10" s="48">
        <f>-'Pg 17 Balance Sheet'!H36</f>
        <v>-656</v>
      </c>
      <c r="I10" s="48">
        <f>-'Pg 17 Balance Sheet'!I36</f>
        <v>-556</v>
      </c>
      <c r="J10" s="48">
        <f>-'Pg 17 Balance Sheet'!J36</f>
        <v>-441</v>
      </c>
    </row>
    <row r="11" spans="1:10" s="268" customFormat="1" ht="18" customHeight="1" x14ac:dyDescent="0.25">
      <c r="A11" s="267" t="s">
        <v>164</v>
      </c>
      <c r="B11" s="93">
        <f t="shared" ref="B11:J11" si="1">SUM(B9:B10)</f>
        <v>0</v>
      </c>
      <c r="C11" s="93">
        <f t="shared" si="1"/>
        <v>4279</v>
      </c>
      <c r="D11" s="93">
        <f t="shared" si="1"/>
        <v>4345</v>
      </c>
      <c r="E11" s="93">
        <f t="shared" si="1"/>
        <v>4267</v>
      </c>
      <c r="F11" s="93">
        <f t="shared" si="1"/>
        <v>4277</v>
      </c>
      <c r="G11" s="93">
        <f t="shared" si="1"/>
        <v>4300</v>
      </c>
      <c r="H11" s="93">
        <f t="shared" si="1"/>
        <v>4298</v>
      </c>
      <c r="I11" s="93">
        <f t="shared" si="1"/>
        <v>4191</v>
      </c>
      <c r="J11" s="93">
        <f t="shared" si="1"/>
        <v>4109</v>
      </c>
    </row>
    <row r="12" spans="1:10" s="260" customFormat="1" ht="18" customHeight="1" x14ac:dyDescent="0.2">
      <c r="A12" s="266" t="s">
        <v>9</v>
      </c>
      <c r="B12" s="47">
        <f>-'Pg 17 Balance Sheet'!B16</f>
        <v>0</v>
      </c>
      <c r="C12" s="47">
        <v>-201</v>
      </c>
      <c r="D12" s="47">
        <f>-'Pg 17 Balance Sheet'!D16</f>
        <v>-201</v>
      </c>
      <c r="E12" s="47">
        <f>-'Pg 17 Balance Sheet'!E16</f>
        <v>-201</v>
      </c>
      <c r="F12" s="47">
        <f>-'Pg 17 Balance Sheet'!F16</f>
        <v>-201</v>
      </c>
      <c r="G12" s="47">
        <f>-'Pg 17 Balance Sheet'!G16</f>
        <v>-201</v>
      </c>
      <c r="H12" s="47">
        <f>-'Pg 17 Balance Sheet'!H16</f>
        <v>-200</v>
      </c>
      <c r="I12" s="47">
        <f>-'Pg 17 Balance Sheet'!I16</f>
        <v>-185</v>
      </c>
      <c r="J12" s="47">
        <f>-'Pg 17 Balance Sheet'!J16</f>
        <v>-185</v>
      </c>
    </row>
    <row r="13" spans="1:10" s="260" customFormat="1" ht="18" customHeight="1" x14ac:dyDescent="0.35">
      <c r="A13" s="266" t="s">
        <v>62</v>
      </c>
      <c r="B13" s="48">
        <v>0</v>
      </c>
      <c r="C13" s="48">
        <v>-51</v>
      </c>
      <c r="D13" s="48">
        <v>-53</v>
      </c>
      <c r="E13" s="48">
        <v>-55</v>
      </c>
      <c r="F13" s="48">
        <v>-57</v>
      </c>
      <c r="G13" s="48">
        <v>-63</v>
      </c>
      <c r="H13" s="48">
        <v>-66</v>
      </c>
      <c r="I13" s="48">
        <v>-27</v>
      </c>
      <c r="J13" s="48">
        <v>-22</v>
      </c>
    </row>
    <row r="14" spans="1:10" s="268" customFormat="1" ht="18" customHeight="1" x14ac:dyDescent="0.4">
      <c r="A14" s="267" t="s">
        <v>165</v>
      </c>
      <c r="B14" s="94">
        <f t="shared" ref="B14:J14" si="2">SUM(B11:B13)</f>
        <v>0</v>
      </c>
      <c r="C14" s="94">
        <f t="shared" si="2"/>
        <v>4027</v>
      </c>
      <c r="D14" s="94">
        <f t="shared" si="2"/>
        <v>4091</v>
      </c>
      <c r="E14" s="94">
        <f t="shared" si="2"/>
        <v>4011</v>
      </c>
      <c r="F14" s="94">
        <f t="shared" si="2"/>
        <v>4019</v>
      </c>
      <c r="G14" s="94">
        <f t="shared" si="2"/>
        <v>4036</v>
      </c>
      <c r="H14" s="94">
        <f t="shared" si="2"/>
        <v>4032</v>
      </c>
      <c r="I14" s="94">
        <f t="shared" si="2"/>
        <v>3979</v>
      </c>
      <c r="J14" s="94">
        <f t="shared" si="2"/>
        <v>3902</v>
      </c>
    </row>
    <row r="15" spans="1:10" s="260" customFormat="1" ht="18" customHeight="1" x14ac:dyDescent="0.35">
      <c r="A15" s="266"/>
      <c r="B15" s="48"/>
      <c r="C15" s="48"/>
      <c r="D15" s="48"/>
      <c r="E15" s="48"/>
      <c r="F15" s="48"/>
      <c r="G15" s="48"/>
      <c r="H15" s="48"/>
      <c r="I15" s="48"/>
      <c r="J15" s="48"/>
    </row>
    <row r="16" spans="1:10" s="260" customFormat="1" ht="18" customHeight="1" x14ac:dyDescent="0.2">
      <c r="A16" s="266" t="s">
        <v>237</v>
      </c>
      <c r="B16" s="272">
        <v>0</v>
      </c>
      <c r="C16" s="272">
        <v>87.326999999999998</v>
      </c>
      <c r="D16" s="272">
        <v>87.54</v>
      </c>
      <c r="E16" s="272">
        <v>87.885999999999996</v>
      </c>
      <c r="F16" s="272">
        <v>87.709000000000003</v>
      </c>
      <c r="G16" s="272">
        <v>88.491</v>
      </c>
      <c r="H16" s="272">
        <v>89.617999999999995</v>
      </c>
      <c r="I16" s="272">
        <v>89.588999999999999</v>
      </c>
      <c r="J16" s="272">
        <v>89.513000000000005</v>
      </c>
    </row>
    <row r="17" spans="1:10" s="260" customFormat="1" ht="18" customHeight="1" x14ac:dyDescent="0.35">
      <c r="A17" s="266"/>
      <c r="B17" s="48"/>
      <c r="C17" s="48"/>
      <c r="D17" s="48"/>
      <c r="E17" s="48"/>
      <c r="F17" s="48"/>
      <c r="G17" s="48"/>
      <c r="H17" s="48"/>
      <c r="I17" s="48"/>
      <c r="J17" s="48"/>
    </row>
    <row r="18" spans="1:10" s="268" customFormat="1" ht="20.25" x14ac:dyDescent="0.55000000000000004">
      <c r="A18" s="444" t="s">
        <v>166</v>
      </c>
      <c r="B18" s="262"/>
      <c r="C18" s="262"/>
      <c r="D18" s="262"/>
      <c r="E18" s="262"/>
      <c r="F18" s="262"/>
      <c r="G18" s="262"/>
      <c r="H18" s="262"/>
      <c r="I18" s="262"/>
      <c r="J18" s="262"/>
    </row>
    <row r="19" spans="1:10" s="268" customFormat="1" ht="18" customHeight="1" x14ac:dyDescent="0.25">
      <c r="A19" s="267" t="s">
        <v>253</v>
      </c>
      <c r="B19" s="384">
        <v>0</v>
      </c>
      <c r="C19" s="384">
        <v>54.1</v>
      </c>
      <c r="D19" s="384">
        <v>54.86</v>
      </c>
      <c r="E19" s="384">
        <v>56.01</v>
      </c>
      <c r="F19" s="384">
        <v>55.65</v>
      </c>
      <c r="G19" s="384">
        <v>55.39</v>
      </c>
      <c r="H19" s="384">
        <v>55.27</v>
      </c>
      <c r="I19" s="384">
        <v>52.99</v>
      </c>
      <c r="J19" s="384">
        <v>50.83</v>
      </c>
    </row>
    <row r="20" spans="1:10" s="268" customFormat="1" ht="18" customHeight="1" x14ac:dyDescent="0.25">
      <c r="A20" s="267" t="s">
        <v>254</v>
      </c>
      <c r="B20" s="385">
        <v>0</v>
      </c>
      <c r="C20" s="385">
        <v>49.01</v>
      </c>
      <c r="D20" s="385">
        <v>49.63</v>
      </c>
      <c r="E20" s="385">
        <v>48.55</v>
      </c>
      <c r="F20" s="385">
        <v>48.76</v>
      </c>
      <c r="G20" s="385">
        <v>48.59</v>
      </c>
      <c r="H20" s="385">
        <v>47.95</v>
      </c>
      <c r="I20" s="385">
        <v>46.79</v>
      </c>
      <c r="J20" s="385">
        <v>45.9</v>
      </c>
    </row>
    <row r="21" spans="1:10" s="268" customFormat="1" ht="18" customHeight="1" x14ac:dyDescent="0.25">
      <c r="A21" s="267" t="s">
        <v>255</v>
      </c>
      <c r="B21" s="385">
        <v>0</v>
      </c>
      <c r="C21" s="385">
        <v>46.12</v>
      </c>
      <c r="D21" s="385">
        <v>46.73</v>
      </c>
      <c r="E21" s="385">
        <v>45.63</v>
      </c>
      <c r="F21" s="385">
        <v>45.82</v>
      </c>
      <c r="G21" s="385">
        <v>45.61</v>
      </c>
      <c r="H21" s="385">
        <v>44.99</v>
      </c>
      <c r="I21" s="385">
        <v>44.42</v>
      </c>
      <c r="J21" s="385">
        <v>43.59</v>
      </c>
    </row>
    <row r="22" spans="1:10" s="260" customFormat="1" ht="18" customHeight="1" x14ac:dyDescent="0.2">
      <c r="A22" s="266"/>
      <c r="B22" s="47"/>
      <c r="C22" s="47"/>
      <c r="D22" s="47"/>
      <c r="E22" s="47"/>
      <c r="F22" s="47"/>
      <c r="G22" s="47"/>
      <c r="H22" s="47"/>
      <c r="I22" s="47"/>
      <c r="J22" s="47"/>
    </row>
    <row r="23" spans="1:10" s="260" customFormat="1" ht="18" customHeight="1" x14ac:dyDescent="0.2">
      <c r="A23" s="265" t="s">
        <v>94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8" customHeight="1" x14ac:dyDescent="0.2">
      <c r="A24" s="269"/>
      <c r="G24" s="260"/>
      <c r="H24" s="260"/>
      <c r="I24" s="260"/>
      <c r="J24" s="260"/>
    </row>
    <row r="25" spans="1:10" ht="18" customHeight="1" x14ac:dyDescent="0.2">
      <c r="A25" s="270" t="s">
        <v>238</v>
      </c>
      <c r="B25" s="49">
        <v>0</v>
      </c>
      <c r="C25" s="49">
        <v>68.91</v>
      </c>
      <c r="D25" s="49">
        <v>65.040000000000006</v>
      </c>
      <c r="E25" s="49">
        <v>64.150000000000006</v>
      </c>
      <c r="F25" s="49">
        <v>60.72</v>
      </c>
      <c r="G25" s="49">
        <v>57.89</v>
      </c>
      <c r="H25" s="49">
        <v>59.56</v>
      </c>
      <c r="I25" s="49">
        <v>57.71</v>
      </c>
      <c r="J25" s="49">
        <v>57.72</v>
      </c>
    </row>
    <row r="26" spans="1:10" ht="18" customHeight="1" x14ac:dyDescent="0.2">
      <c r="A26" s="269"/>
      <c r="G26" s="260"/>
      <c r="H26" s="260"/>
      <c r="I26" s="260"/>
      <c r="J26" s="260"/>
    </row>
    <row r="27" spans="1:10" s="260" customFormat="1" ht="18" customHeight="1" x14ac:dyDescent="0.2">
      <c r="A27" s="270" t="s">
        <v>94</v>
      </c>
      <c r="B27" s="44">
        <f>ROUND(B16*B25,0)</f>
        <v>0</v>
      </c>
      <c r="C27" s="44">
        <f>ROUND(C16*C25,0)</f>
        <v>6018</v>
      </c>
      <c r="D27" s="44">
        <f>ROUND(D16*D25,0)</f>
        <v>5694</v>
      </c>
      <c r="E27" s="44">
        <f>ROUND(E16*E25,0)</f>
        <v>5638</v>
      </c>
      <c r="F27" s="44">
        <f>ROUND(F16*F25,0)</f>
        <v>5326</v>
      </c>
      <c r="G27" s="44">
        <f t="shared" ref="G27:J27" si="3">ROUND(G16*G25,0)</f>
        <v>5123</v>
      </c>
      <c r="H27" s="44">
        <f>ROUND(H16*H25,0)</f>
        <v>5338</v>
      </c>
      <c r="I27" s="44">
        <f t="shared" si="3"/>
        <v>5170</v>
      </c>
      <c r="J27" s="44">
        <f t="shared" si="3"/>
        <v>5167</v>
      </c>
    </row>
    <row r="28" spans="1:10" s="260" customFormat="1" ht="18" customHeight="1" x14ac:dyDescent="0.2">
      <c r="A28" s="270"/>
      <c r="B28" s="47"/>
      <c r="C28" s="47"/>
      <c r="D28" s="47"/>
      <c r="E28" s="47"/>
      <c r="F28" s="47"/>
      <c r="G28" s="47"/>
      <c r="H28" s="47"/>
      <c r="I28" s="47"/>
      <c r="J28" s="47"/>
    </row>
    <row r="29" spans="1:10" s="260" customFormat="1" ht="18" customHeight="1" x14ac:dyDescent="0.2">
      <c r="A29" s="271" t="s">
        <v>257</v>
      </c>
      <c r="B29" s="92" t="e">
        <f>+B25/B20</f>
        <v>#DIV/0!</v>
      </c>
      <c r="C29" s="92">
        <f>+C25/C20</f>
        <v>1.4060395837584165</v>
      </c>
      <c r="D29" s="470">
        <f>+D25/D20</f>
        <v>1.3104976828531132</v>
      </c>
      <c r="E29" s="92">
        <f>+E25/E20</f>
        <v>1.3213182286302783</v>
      </c>
      <c r="F29" s="92">
        <f>+F25/F20</f>
        <v>1.2452830188679245</v>
      </c>
      <c r="G29" s="92">
        <f t="shared" ref="G29:J29" si="4">+G25/G20</f>
        <v>1.1913974068738422</v>
      </c>
      <c r="H29" s="92">
        <f t="shared" si="4"/>
        <v>1.2421272158498435</v>
      </c>
      <c r="I29" s="92">
        <f t="shared" si="4"/>
        <v>1.2333832015387904</v>
      </c>
      <c r="J29" s="92">
        <f t="shared" si="4"/>
        <v>1.257516339869281</v>
      </c>
    </row>
    <row r="30" spans="1:10" s="260" customFormat="1" ht="18" customHeight="1" x14ac:dyDescent="0.2">
      <c r="A30" s="269"/>
    </row>
    <row r="31" spans="1:10" ht="18" customHeight="1" x14ac:dyDescent="0.2">
      <c r="A31" s="315" t="s">
        <v>296</v>
      </c>
      <c r="J31" s="260"/>
    </row>
    <row r="32" spans="1:10" ht="18" customHeight="1" x14ac:dyDescent="0.2">
      <c r="A32" s="315" t="s">
        <v>256</v>
      </c>
      <c r="J32" s="260"/>
    </row>
    <row r="33" spans="1:10" ht="18" customHeight="1" x14ac:dyDescent="0.2">
      <c r="A33" s="315" t="s">
        <v>298</v>
      </c>
      <c r="J33" s="260"/>
    </row>
    <row r="34" spans="1:10" ht="18" customHeight="1" x14ac:dyDescent="0.2">
      <c r="J34" s="260"/>
    </row>
    <row r="35" spans="1:10" ht="18" customHeight="1" x14ac:dyDescent="0.2">
      <c r="A35" s="466"/>
      <c r="J35" s="260"/>
    </row>
    <row r="36" spans="1:10" ht="18" customHeight="1" x14ac:dyDescent="0.2">
      <c r="A36" s="466"/>
      <c r="J36" s="260"/>
    </row>
    <row r="37" spans="1:10" ht="18" customHeight="1" x14ac:dyDescent="0.2">
      <c r="J37" s="260"/>
    </row>
    <row r="38" spans="1:10" ht="18" customHeight="1" x14ac:dyDescent="0.2">
      <c r="J38" s="260"/>
    </row>
    <row r="39" spans="1:10" ht="18" customHeight="1" x14ac:dyDescent="0.2">
      <c r="J39" s="260"/>
    </row>
    <row r="40" spans="1:10" ht="18" customHeight="1" x14ac:dyDescent="0.2">
      <c r="J40" s="260"/>
    </row>
    <row r="41" spans="1:10" ht="18" customHeight="1" x14ac:dyDescent="0.2">
      <c r="J41" s="260"/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&amp;C18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36"/>
  <sheetViews>
    <sheetView zoomScale="85" zoomScaleNormal="85" workbookViewId="0"/>
  </sheetViews>
  <sheetFormatPr defaultRowHeight="15.75" customHeight="1" x14ac:dyDescent="0.25"/>
  <cols>
    <col min="1" max="1" width="62.21875" style="275" customWidth="1"/>
    <col min="2" max="2" width="10.88671875" style="275" hidden="1" customWidth="1"/>
    <col min="3" max="4" width="10.88671875" style="275" customWidth="1"/>
    <col min="5" max="6" width="10.77734375" style="275" customWidth="1"/>
    <col min="7" max="8" width="10.77734375" style="281" customWidth="1"/>
    <col min="9" max="10" width="10.77734375" style="281" hidden="1" customWidth="1"/>
    <col min="11" max="16384" width="8.88671875" style="281"/>
  </cols>
  <sheetData>
    <row r="1" spans="1:10" s="275" customFormat="1" ht="18" x14ac:dyDescent="0.25">
      <c r="A1" s="273" t="str">
        <f>'Cover Page'!$H$10</f>
        <v>American Financial Group, Inc.</v>
      </c>
      <c r="B1" s="274"/>
      <c r="C1" s="274"/>
      <c r="D1" s="274"/>
      <c r="E1" s="274"/>
      <c r="F1" s="274"/>
    </row>
    <row r="2" spans="1:10" s="275" customFormat="1" ht="18" x14ac:dyDescent="0.25">
      <c r="A2" s="276" t="s">
        <v>167</v>
      </c>
      <c r="B2" s="274"/>
      <c r="C2" s="274"/>
      <c r="D2" s="274"/>
      <c r="E2" s="274"/>
      <c r="F2" s="274"/>
    </row>
    <row r="3" spans="1:10" s="275" customFormat="1" x14ac:dyDescent="0.25">
      <c r="A3" s="277" t="s">
        <v>14</v>
      </c>
      <c r="B3" s="274"/>
      <c r="C3" s="274"/>
      <c r="D3" s="274"/>
      <c r="E3" s="274"/>
      <c r="F3" s="274"/>
    </row>
    <row r="4" spans="1:10" s="275" customFormat="1" ht="15.75" customHeight="1" x14ac:dyDescent="0.25">
      <c r="A4" s="278"/>
      <c r="B4" s="278"/>
      <c r="C4" s="278"/>
      <c r="D4" s="278"/>
      <c r="E4" s="278"/>
      <c r="F4" s="278"/>
    </row>
    <row r="5" spans="1:10" s="260" customFormat="1" ht="20.25" x14ac:dyDescent="0.55000000000000004">
      <c r="A5" s="93"/>
      <c r="B5" s="84" t="s">
        <v>384</v>
      </c>
      <c r="C5" s="84" t="s">
        <v>385</v>
      </c>
      <c r="D5" s="84" t="s">
        <v>386</v>
      </c>
      <c r="E5" s="84" t="s">
        <v>387</v>
      </c>
      <c r="F5" s="84" t="s">
        <v>322</v>
      </c>
      <c r="G5" s="84" t="s">
        <v>323</v>
      </c>
      <c r="H5" s="84" t="s">
        <v>324</v>
      </c>
      <c r="I5" s="84" t="s">
        <v>325</v>
      </c>
      <c r="J5" s="84" t="s">
        <v>117</v>
      </c>
    </row>
    <row r="6" spans="1:10" s="275" customFormat="1" ht="15.75" customHeight="1" x14ac:dyDescent="0.25">
      <c r="A6" s="278"/>
      <c r="B6" s="279"/>
      <c r="C6" s="279"/>
      <c r="D6" s="279"/>
      <c r="E6" s="279"/>
      <c r="F6" s="279"/>
      <c r="G6" s="279"/>
      <c r="H6" s="279"/>
      <c r="I6" s="279"/>
      <c r="J6" s="279"/>
    </row>
    <row r="7" spans="1:10" s="275" customFormat="1" ht="15" x14ac:dyDescent="0.25">
      <c r="A7" s="280" t="s">
        <v>345</v>
      </c>
      <c r="B7" s="95">
        <v>0</v>
      </c>
      <c r="C7" s="95">
        <v>708</v>
      </c>
      <c r="D7" s="95">
        <v>840</v>
      </c>
      <c r="E7" s="95">
        <v>840</v>
      </c>
      <c r="F7" s="95">
        <v>840</v>
      </c>
      <c r="G7" s="95">
        <v>840</v>
      </c>
      <c r="H7" s="95">
        <v>840</v>
      </c>
      <c r="I7" s="95">
        <v>840</v>
      </c>
      <c r="J7" s="95">
        <v>840</v>
      </c>
    </row>
    <row r="8" spans="1:10" s="275" customFormat="1" ht="15" x14ac:dyDescent="0.25">
      <c r="A8" s="280" t="s">
        <v>357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</row>
    <row r="9" spans="1:10" s="275" customFormat="1" ht="17.25" x14ac:dyDescent="0.25">
      <c r="A9" s="280" t="s">
        <v>348</v>
      </c>
      <c r="B9" s="51">
        <v>0</v>
      </c>
      <c r="C9" s="51">
        <v>12</v>
      </c>
      <c r="D9" s="51">
        <v>12</v>
      </c>
      <c r="E9" s="51">
        <v>12</v>
      </c>
      <c r="F9" s="51">
        <v>12</v>
      </c>
      <c r="G9" s="51">
        <v>12</v>
      </c>
      <c r="H9" s="51">
        <v>12</v>
      </c>
      <c r="I9" s="51">
        <v>12</v>
      </c>
      <c r="J9" s="51">
        <v>12</v>
      </c>
    </row>
    <row r="10" spans="1:10" s="286" customFormat="1" x14ac:dyDescent="0.25">
      <c r="A10" s="284" t="s">
        <v>360</v>
      </c>
      <c r="B10" s="386">
        <f t="shared" ref="B10:J10" si="0">SUM(B7:B9)</f>
        <v>0</v>
      </c>
      <c r="C10" s="386">
        <f t="shared" si="0"/>
        <v>720</v>
      </c>
      <c r="D10" s="386">
        <f t="shared" si="0"/>
        <v>852</v>
      </c>
      <c r="E10" s="386">
        <f t="shared" si="0"/>
        <v>852</v>
      </c>
      <c r="F10" s="386">
        <f t="shared" si="0"/>
        <v>852</v>
      </c>
      <c r="G10" s="386">
        <f t="shared" si="0"/>
        <v>852</v>
      </c>
      <c r="H10" s="386">
        <f t="shared" si="0"/>
        <v>852</v>
      </c>
      <c r="I10" s="386">
        <f t="shared" si="0"/>
        <v>852</v>
      </c>
      <c r="J10" s="386">
        <f t="shared" si="0"/>
        <v>852</v>
      </c>
    </row>
    <row r="11" spans="1:10" s="275" customFormat="1" ht="15" x14ac:dyDescent="0.25">
      <c r="A11" s="280"/>
      <c r="B11" s="50"/>
      <c r="C11" s="50"/>
      <c r="D11" s="50"/>
      <c r="E11" s="50"/>
      <c r="F11" s="50"/>
      <c r="G11" s="50"/>
      <c r="H11" s="50"/>
      <c r="I11" s="50"/>
      <c r="J11" s="50"/>
    </row>
    <row r="12" spans="1:10" s="275" customFormat="1" ht="15" x14ac:dyDescent="0.25">
      <c r="A12" s="280" t="s">
        <v>346</v>
      </c>
      <c r="B12" s="50">
        <v>0</v>
      </c>
      <c r="C12" s="50">
        <v>150</v>
      </c>
      <c r="D12" s="50">
        <v>150</v>
      </c>
      <c r="E12" s="50">
        <v>150</v>
      </c>
      <c r="F12" s="50">
        <v>150</v>
      </c>
      <c r="G12" s="50">
        <v>150</v>
      </c>
      <c r="H12" s="50">
        <v>0</v>
      </c>
      <c r="I12" s="50">
        <v>0</v>
      </c>
      <c r="J12" s="50">
        <v>0</v>
      </c>
    </row>
    <row r="13" spans="1:10" s="275" customFormat="1" ht="15" x14ac:dyDescent="0.25">
      <c r="A13" s="280" t="s">
        <v>347</v>
      </c>
      <c r="B13" s="50">
        <v>0</v>
      </c>
      <c r="C13" s="50">
        <v>10</v>
      </c>
      <c r="D13" s="50">
        <v>22</v>
      </c>
      <c r="E13" s="50">
        <v>59</v>
      </c>
      <c r="F13" s="50">
        <v>59</v>
      </c>
      <c r="G13" s="50">
        <v>60</v>
      </c>
      <c r="H13" s="50">
        <v>60</v>
      </c>
      <c r="I13" s="50">
        <v>61</v>
      </c>
      <c r="J13" s="50">
        <v>61</v>
      </c>
    </row>
    <row r="14" spans="1:10" s="275" customFormat="1" ht="17.25" x14ac:dyDescent="0.25">
      <c r="A14" s="280" t="s">
        <v>361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</row>
    <row r="15" spans="1:10" s="286" customFormat="1" x14ac:dyDescent="0.25">
      <c r="A15" s="284" t="s">
        <v>349</v>
      </c>
      <c r="B15" s="386">
        <f t="shared" ref="B15:J15" si="1">SUM(B10:B14)</f>
        <v>0</v>
      </c>
      <c r="C15" s="386">
        <f t="shared" si="1"/>
        <v>880</v>
      </c>
      <c r="D15" s="386">
        <f t="shared" si="1"/>
        <v>1024</v>
      </c>
      <c r="E15" s="386">
        <f t="shared" si="1"/>
        <v>1061</v>
      </c>
      <c r="F15" s="386">
        <f t="shared" si="1"/>
        <v>1061</v>
      </c>
      <c r="G15" s="386">
        <f t="shared" si="1"/>
        <v>1062</v>
      </c>
      <c r="H15" s="386">
        <f t="shared" si="1"/>
        <v>912</v>
      </c>
      <c r="I15" s="386">
        <f t="shared" si="1"/>
        <v>913</v>
      </c>
      <c r="J15" s="386">
        <f t="shared" si="1"/>
        <v>913</v>
      </c>
    </row>
    <row r="16" spans="1:10" s="275" customFormat="1" ht="15" x14ac:dyDescent="0.25">
      <c r="A16" s="280"/>
      <c r="B16" s="50"/>
      <c r="C16" s="50"/>
      <c r="D16" s="50"/>
      <c r="E16" s="50"/>
      <c r="F16" s="50"/>
      <c r="G16" s="50"/>
      <c r="H16" s="50"/>
      <c r="I16" s="50"/>
      <c r="J16" s="50"/>
    </row>
    <row r="17" spans="1:10" s="275" customFormat="1" ht="15" x14ac:dyDescent="0.25">
      <c r="A17" s="280" t="s">
        <v>162</v>
      </c>
      <c r="B17" s="50">
        <f>'Pg 17 Balance Sheet'!B39</f>
        <v>0</v>
      </c>
      <c r="C17" s="50">
        <f>'Pg 17 Balance Sheet'!C39</f>
        <v>4724</v>
      </c>
      <c r="D17" s="50">
        <f>'Pg 17 Balance Sheet'!D39</f>
        <v>4802</v>
      </c>
      <c r="E17" s="50">
        <f>'Pg 17 Balance Sheet'!E39</f>
        <v>4923</v>
      </c>
      <c r="F17" s="50">
        <f>'Pg 17 Balance Sheet'!F39</f>
        <v>4879</v>
      </c>
      <c r="G17" s="50">
        <f>'Pg 17 Balance Sheet'!G39</f>
        <v>4904</v>
      </c>
      <c r="H17" s="50">
        <f>'Pg 17 Balance Sheet'!H39</f>
        <v>4985</v>
      </c>
      <c r="I17" s="50">
        <f>'Pg 17 Balance Sheet'!I39</f>
        <v>4796</v>
      </c>
      <c r="J17" s="50">
        <f>'Pg 17 Balance Sheet'!J39</f>
        <v>4599</v>
      </c>
    </row>
    <row r="18" spans="1:10" s="275" customFormat="1" ht="15" x14ac:dyDescent="0.25">
      <c r="A18" s="280" t="s">
        <v>122</v>
      </c>
      <c r="B18" s="50">
        <f>'Pg 17 Balance Sheet'!B41</f>
        <v>0</v>
      </c>
      <c r="C18" s="50">
        <f>'Pg 17 Balance Sheet'!C41</f>
        <v>182</v>
      </c>
      <c r="D18" s="50">
        <f>'Pg 17 Balance Sheet'!D41</f>
        <v>182</v>
      </c>
      <c r="E18" s="50">
        <f>'Pg 17 Balance Sheet'!E41</f>
        <v>177</v>
      </c>
      <c r="F18" s="50">
        <f>'Pg 17 Balance Sheet'!F41</f>
        <v>175</v>
      </c>
      <c r="G18" s="50">
        <f>'Pg 17 Balance Sheet'!G41</f>
        <v>174</v>
      </c>
      <c r="H18" s="50">
        <f>'Pg 17 Balance Sheet'!H41</f>
        <v>173</v>
      </c>
      <c r="I18" s="50">
        <f>'Pg 17 Balance Sheet'!I41</f>
        <v>177</v>
      </c>
      <c r="J18" s="50">
        <f>'Pg 17 Balance Sheet'!J41</f>
        <v>170</v>
      </c>
    </row>
    <row r="19" spans="1:10" s="275" customFormat="1" ht="15" x14ac:dyDescent="0.25">
      <c r="A19" s="280" t="s">
        <v>350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s="275" customFormat="1" ht="15" x14ac:dyDescent="0.25">
      <c r="A20" s="280" t="s">
        <v>351</v>
      </c>
      <c r="B20" s="50">
        <f>-'Pg 17 Balance Sheet'!B34</f>
        <v>0</v>
      </c>
      <c r="C20" s="50">
        <f>-'Pg 17 Balance Sheet'!C34</f>
        <v>0</v>
      </c>
      <c r="D20" s="50">
        <f>-'Pg 17 Balance Sheet'!D34</f>
        <v>0</v>
      </c>
      <c r="E20" s="50">
        <f>-'Pg 17 Balance Sheet'!E34</f>
        <v>0</v>
      </c>
      <c r="F20" s="50">
        <f>-'Pg 17 Balance Sheet'!F34</f>
        <v>2</v>
      </c>
      <c r="G20" s="50">
        <f>-'Pg 17 Balance Sheet'!G34</f>
        <v>-2</v>
      </c>
      <c r="H20" s="50">
        <f>-'Pg 17 Balance Sheet'!H34</f>
        <v>-31</v>
      </c>
      <c r="I20" s="50">
        <f>-'Pg 17 Balance Sheet'!I34</f>
        <v>-49</v>
      </c>
      <c r="J20" s="50">
        <f>-'Pg 17 Balance Sheet'!J34</f>
        <v>-49</v>
      </c>
    </row>
    <row r="21" spans="1:10" s="275" customFormat="1" ht="17.25" x14ac:dyDescent="0.25">
      <c r="A21" s="280" t="s">
        <v>352</v>
      </c>
      <c r="B21" s="51">
        <f>-'Pg 17 Balance Sheet'!B36</f>
        <v>0</v>
      </c>
      <c r="C21" s="51">
        <f>-'Pg 17 Balance Sheet'!C36</f>
        <v>-445</v>
      </c>
      <c r="D21" s="51">
        <f>-'Pg 17 Balance Sheet'!D36</f>
        <v>-457</v>
      </c>
      <c r="E21" s="51">
        <f>-'Pg 17 Balance Sheet'!E36</f>
        <v>-656</v>
      </c>
      <c r="F21" s="51">
        <f>-'Pg 17 Balance Sheet'!F36</f>
        <v>-604</v>
      </c>
      <c r="G21" s="51">
        <f>-'Pg 17 Balance Sheet'!G36</f>
        <v>-602</v>
      </c>
      <c r="H21" s="51">
        <f>-'Pg 17 Balance Sheet'!H36</f>
        <v>-656</v>
      </c>
      <c r="I21" s="51">
        <f>-'Pg 17 Balance Sheet'!I36</f>
        <v>-556</v>
      </c>
      <c r="J21" s="51">
        <f>-'Pg 17 Balance Sheet'!J36</f>
        <v>-441</v>
      </c>
    </row>
    <row r="22" spans="1:10" s="286" customFormat="1" ht="18" x14ac:dyDescent="0.25">
      <c r="A22" s="284" t="s">
        <v>353</v>
      </c>
      <c r="B22" s="285">
        <f t="shared" ref="B22:J22" si="2">SUM(B15:B21)</f>
        <v>0</v>
      </c>
      <c r="C22" s="285">
        <f t="shared" si="2"/>
        <v>5341</v>
      </c>
      <c r="D22" s="285">
        <f t="shared" si="2"/>
        <v>5551</v>
      </c>
      <c r="E22" s="285">
        <f t="shared" si="2"/>
        <v>5505</v>
      </c>
      <c r="F22" s="285">
        <f t="shared" si="2"/>
        <v>5513</v>
      </c>
      <c r="G22" s="285">
        <f t="shared" si="2"/>
        <v>5536</v>
      </c>
      <c r="H22" s="285">
        <f t="shared" si="2"/>
        <v>5383</v>
      </c>
      <c r="I22" s="285">
        <f t="shared" si="2"/>
        <v>5281</v>
      </c>
      <c r="J22" s="285">
        <f t="shared" si="2"/>
        <v>5192</v>
      </c>
    </row>
    <row r="23" spans="1:10" s="286" customFormat="1" ht="18" x14ac:dyDescent="0.25">
      <c r="A23" s="284"/>
      <c r="B23" s="285"/>
      <c r="C23" s="285"/>
      <c r="D23" s="285"/>
      <c r="E23" s="285"/>
      <c r="F23" s="285"/>
      <c r="G23" s="285"/>
      <c r="H23" s="285"/>
      <c r="I23" s="285"/>
      <c r="J23" s="285"/>
    </row>
    <row r="24" spans="1:10" s="286" customFormat="1" ht="18" x14ac:dyDescent="0.25">
      <c r="A24" s="280" t="s">
        <v>350</v>
      </c>
      <c r="B24" s="285"/>
      <c r="C24" s="285"/>
      <c r="D24" s="285"/>
      <c r="E24" s="285"/>
      <c r="F24" s="285"/>
      <c r="G24" s="285"/>
      <c r="H24" s="285"/>
      <c r="I24" s="285"/>
      <c r="J24" s="285"/>
    </row>
    <row r="25" spans="1:10" s="275" customFormat="1" ht="17.25" x14ac:dyDescent="0.25">
      <c r="A25" s="377" t="s">
        <v>347</v>
      </c>
      <c r="B25" s="51">
        <f t="shared" ref="B25:J25" si="3">-B13</f>
        <v>0</v>
      </c>
      <c r="C25" s="51">
        <f t="shared" si="3"/>
        <v>-10</v>
      </c>
      <c r="D25" s="51">
        <f t="shared" si="3"/>
        <v>-22</v>
      </c>
      <c r="E25" s="51">
        <f t="shared" si="3"/>
        <v>-59</v>
      </c>
      <c r="F25" s="51">
        <f t="shared" si="3"/>
        <v>-59</v>
      </c>
      <c r="G25" s="51">
        <f t="shared" si="3"/>
        <v>-60</v>
      </c>
      <c r="H25" s="51">
        <f t="shared" si="3"/>
        <v>-60</v>
      </c>
      <c r="I25" s="51">
        <f t="shared" si="3"/>
        <v>-61</v>
      </c>
      <c r="J25" s="51">
        <f t="shared" si="3"/>
        <v>-61</v>
      </c>
    </row>
    <row r="26" spans="1:10" s="286" customFormat="1" ht="18" x14ac:dyDescent="0.25">
      <c r="A26" s="284" t="s">
        <v>354</v>
      </c>
      <c r="B26" s="285">
        <f t="shared" ref="B26:J26" si="4">B22-B13</f>
        <v>0</v>
      </c>
      <c r="C26" s="285">
        <f t="shared" si="4"/>
        <v>5331</v>
      </c>
      <c r="D26" s="285">
        <f t="shared" si="4"/>
        <v>5529</v>
      </c>
      <c r="E26" s="285">
        <f t="shared" si="4"/>
        <v>5446</v>
      </c>
      <c r="F26" s="285">
        <f t="shared" si="4"/>
        <v>5454</v>
      </c>
      <c r="G26" s="285">
        <f t="shared" si="4"/>
        <v>5476</v>
      </c>
      <c r="H26" s="285">
        <f t="shared" si="4"/>
        <v>5323</v>
      </c>
      <c r="I26" s="285">
        <f t="shared" si="4"/>
        <v>5220</v>
      </c>
      <c r="J26" s="285">
        <f t="shared" si="4"/>
        <v>5131</v>
      </c>
    </row>
    <row r="27" spans="1:10" s="275" customFormat="1" ht="15" x14ac:dyDescent="0.25">
      <c r="A27" s="280"/>
      <c r="B27" s="50"/>
      <c r="C27" s="50"/>
      <c r="D27" s="50"/>
      <c r="E27" s="50"/>
      <c r="F27" s="50"/>
      <c r="G27" s="50"/>
      <c r="H27" s="50"/>
      <c r="I27" s="50"/>
      <c r="J27" s="50"/>
    </row>
    <row r="28" spans="1:10" s="275" customFormat="1" ht="15.75" customHeight="1" x14ac:dyDescent="0.25">
      <c r="A28" s="284" t="s">
        <v>355</v>
      </c>
      <c r="B28" s="278"/>
      <c r="C28" s="278"/>
      <c r="D28" s="278"/>
      <c r="E28" s="286"/>
      <c r="F28" s="286"/>
      <c r="G28" s="286"/>
      <c r="H28" s="286"/>
      <c r="I28" s="286"/>
      <c r="J28" s="286"/>
    </row>
    <row r="29" spans="1:10" s="275" customFormat="1" ht="15.75" customHeight="1" x14ac:dyDescent="0.25">
      <c r="A29" s="387" t="s">
        <v>358</v>
      </c>
      <c r="B29" s="283" t="e">
        <f t="shared" ref="B29:G29" si="5">B15/B22</f>
        <v>#DIV/0!</v>
      </c>
      <c r="C29" s="283">
        <f t="shared" si="5"/>
        <v>0.16476315296760907</v>
      </c>
      <c r="D29" s="283">
        <f t="shared" si="5"/>
        <v>0.18447126643847955</v>
      </c>
      <c r="E29" s="283">
        <f t="shared" si="5"/>
        <v>0.19273387829246139</v>
      </c>
      <c r="F29" s="283">
        <f t="shared" si="5"/>
        <v>0.19245419916560857</v>
      </c>
      <c r="G29" s="283">
        <f t="shared" si="5"/>
        <v>0.19183526011560695</v>
      </c>
      <c r="H29" s="283">
        <f t="shared" ref="H29:J29" si="6">H15/H22</f>
        <v>0.16942225524800297</v>
      </c>
      <c r="I29" s="283">
        <f t="shared" si="6"/>
        <v>0.17288392349933723</v>
      </c>
      <c r="J29" s="283">
        <f t="shared" si="6"/>
        <v>0.17584745762711865</v>
      </c>
    </row>
    <row r="30" spans="1:10" s="275" customFormat="1" ht="15.75" customHeight="1" x14ac:dyDescent="0.25">
      <c r="A30" s="387" t="s">
        <v>359</v>
      </c>
      <c r="B30" s="283" t="e">
        <f t="shared" ref="B30:J30" si="7">B10/B26</f>
        <v>#DIV/0!</v>
      </c>
      <c r="C30" s="283">
        <f t="shared" si="7"/>
        <v>0.13505908835115363</v>
      </c>
      <c r="D30" s="283">
        <f t="shared" si="7"/>
        <v>0.15409658166033641</v>
      </c>
      <c r="E30" s="283">
        <f t="shared" si="7"/>
        <v>0.15644509731913331</v>
      </c>
      <c r="F30" s="283">
        <f t="shared" si="7"/>
        <v>0.15621562156215621</v>
      </c>
      <c r="G30" s="283">
        <f t="shared" si="7"/>
        <v>0.15558802045288531</v>
      </c>
      <c r="H30" s="283">
        <f t="shared" si="7"/>
        <v>0.16006011647567162</v>
      </c>
      <c r="I30" s="283">
        <f t="shared" si="7"/>
        <v>0.16321839080459771</v>
      </c>
      <c r="J30" s="283">
        <f t="shared" si="7"/>
        <v>0.16604950302085364</v>
      </c>
    </row>
    <row r="31" spans="1:10" s="275" customFormat="1" ht="15.75" customHeight="1" x14ac:dyDescent="0.25">
      <c r="A31" s="377"/>
      <c r="B31" s="50"/>
      <c r="C31" s="50"/>
      <c r="D31" s="50"/>
      <c r="E31" s="378"/>
      <c r="F31" s="378"/>
      <c r="G31" s="378"/>
      <c r="H31" s="378"/>
      <c r="I31" s="378"/>
      <c r="J31" s="378"/>
    </row>
    <row r="32" spans="1:10" ht="15.75" customHeight="1" x14ac:dyDescent="0.25">
      <c r="A32" s="281"/>
    </row>
    <row r="33" spans="1:1" ht="15.75" customHeight="1" x14ac:dyDescent="0.25">
      <c r="A33" s="424"/>
    </row>
    <row r="34" spans="1:1" ht="15.75" customHeight="1" x14ac:dyDescent="0.25">
      <c r="A34" s="424"/>
    </row>
    <row r="35" spans="1:1" ht="15.75" customHeight="1" x14ac:dyDescent="0.25">
      <c r="A35" s="282"/>
    </row>
    <row r="36" spans="1:1" ht="15.75" customHeight="1" x14ac:dyDescent="0.25">
      <c r="A36" s="282"/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&amp;C19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2"/>
  <sheetViews>
    <sheetView zoomScale="85" zoomScaleNormal="85" workbookViewId="0"/>
  </sheetViews>
  <sheetFormatPr defaultRowHeight="15" outlineLevelRow="2" x14ac:dyDescent="0.2"/>
  <cols>
    <col min="1" max="1" width="70.109375" style="54" customWidth="1"/>
    <col min="2" max="2" width="8.33203125" style="54" customWidth="1"/>
    <col min="3" max="3" width="8.33203125" style="431" customWidth="1"/>
    <col min="4" max="4" width="8.88671875" style="1"/>
    <col min="5" max="11" width="8.33203125" style="54" customWidth="1"/>
    <col min="12" max="16384" width="8.88671875" style="54"/>
  </cols>
  <sheetData>
    <row r="1" spans="1:9" ht="18" x14ac:dyDescent="0.25">
      <c r="A1" s="53" t="str">
        <f>'Cover Page'!$H$10</f>
        <v>American Financial Group, Inc.</v>
      </c>
    </row>
    <row r="2" spans="1:9" ht="15.75" x14ac:dyDescent="0.25">
      <c r="A2" s="55" t="str">
        <f>"Table of Contents - "&amp;'Cover Page'!H11</f>
        <v>Table of Contents - Investor Supplement - Third Quarter 2015</v>
      </c>
    </row>
    <row r="6" spans="1:9" s="56" customFormat="1" x14ac:dyDescent="0.35">
      <c r="A6" s="56" t="s">
        <v>54</v>
      </c>
      <c r="B6" s="56" t="s">
        <v>18</v>
      </c>
      <c r="C6" s="432"/>
      <c r="D6" s="430"/>
    </row>
    <row r="7" spans="1:9" x14ac:dyDescent="0.2">
      <c r="D7" s="433"/>
    </row>
    <row r="8" spans="1:9" x14ac:dyDescent="0.2">
      <c r="A8" s="433" t="str">
        <f>A2&amp;REPT(".",550)</f>
        <v>Table of Contents - Investor Supplement - Third Quarter 2015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8" s="434">
        <v>2</v>
      </c>
      <c r="D8" s="433"/>
    </row>
    <row r="9" spans="1:9" x14ac:dyDescent="0.2">
      <c r="A9" s="433" t="str">
        <f>'Pg 3 Highlights'!A2&amp;REPT(".",550)</f>
        <v>Financial Highlight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9" s="434">
        <f>B8+1</f>
        <v>3</v>
      </c>
      <c r="D9" s="433"/>
    </row>
    <row r="10" spans="1:9" outlineLevel="1" x14ac:dyDescent="0.2">
      <c r="A10" s="433" t="str">
        <f>'Pg 4 Earnings'!A2&amp;REPT(".",550)</f>
        <v>Summary of Earning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10" s="434">
        <f>B9+1</f>
        <v>4</v>
      </c>
      <c r="D10" s="433"/>
      <c r="I10" s="57"/>
    </row>
    <row r="11" spans="1:9" outlineLevel="1" x14ac:dyDescent="0.2">
      <c r="A11" s="433" t="str">
        <f>'Pg 5 Earnings Per Share'!A2&amp;REPT(".",550)</f>
        <v>Earnings Per Share Summary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11" s="434">
        <f>B10+1</f>
        <v>5</v>
      </c>
      <c r="D11" s="433"/>
      <c r="I11" s="57"/>
    </row>
    <row r="12" spans="1:9" outlineLevel="1" x14ac:dyDescent="0.2">
      <c r="A12" s="433"/>
      <c r="B12" s="434"/>
      <c r="D12" s="433"/>
      <c r="E12" s="68"/>
      <c r="I12" s="58"/>
    </row>
    <row r="13" spans="1:9" ht="15.75" outlineLevel="1" x14ac:dyDescent="0.25">
      <c r="A13" s="55" t="s">
        <v>240</v>
      </c>
      <c r="B13" s="434"/>
      <c r="D13" s="433"/>
      <c r="I13" s="58"/>
    </row>
    <row r="14" spans="1:9" outlineLevel="1" x14ac:dyDescent="0.2">
      <c r="A14" s="433" t="str">
        <f>'Pg 6 P&amp;C_UW'!A2&amp;REPT(".",550)</f>
        <v>Property and Casualty Insurance - Summary Underwriting Results (GAAP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14" s="434">
        <f>B11+1</f>
        <v>6</v>
      </c>
      <c r="D14" s="433"/>
      <c r="I14" s="57"/>
    </row>
    <row r="15" spans="1:9" outlineLevel="1" x14ac:dyDescent="0.2">
      <c r="A15" s="433" t="str">
        <f>'Pg 7 P&amp;C_Specialty_UW'!A2&amp;REPT(".",550)</f>
        <v>Specialty - Underwriting Results (GAAP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15" s="434">
        <f>B14+1</f>
        <v>7</v>
      </c>
      <c r="D15" s="433"/>
      <c r="I15" s="57"/>
    </row>
    <row r="16" spans="1:9" outlineLevel="2" x14ac:dyDescent="0.2">
      <c r="A16" s="433" t="str">
        <f>'Pg 8 P&amp;C_P&amp;T_UW'!A2&amp;REPT(".",550)</f>
        <v>Property and Transportation - Underwriting Results (GAAP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16" s="434">
        <f>B15+1</f>
        <v>8</v>
      </c>
      <c r="D16" s="433"/>
      <c r="I16" s="57"/>
    </row>
    <row r="17" spans="1:9" outlineLevel="2" x14ac:dyDescent="0.2">
      <c r="A17" s="433" t="str">
        <f>'Pg 9 P&amp;C_SC_UW'!A2&amp;REPT(".",550)</f>
        <v>Specialty Casualty - Underwriting Results (GAAP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17" s="434">
        <f>B16+1</f>
        <v>9</v>
      </c>
      <c r="D17" s="433"/>
      <c r="I17" s="57"/>
    </row>
    <row r="18" spans="1:9" outlineLevel="2" x14ac:dyDescent="0.2">
      <c r="A18" s="433" t="str">
        <f>'Pg 10 P&amp;C_SF_UW'!A2&amp;REPT(".",550)</f>
        <v>Specialty Financial - Underwriting Results (GAAP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18" s="434">
        <f>B17+1</f>
        <v>10</v>
      </c>
      <c r="E18" s="68"/>
      <c r="I18" s="57"/>
    </row>
    <row r="19" spans="1:9" outlineLevel="2" x14ac:dyDescent="0.2">
      <c r="A19" s="433" t="str">
        <f>'Pg 11 P&amp;C_Spec_Other_UW'!A2&amp;REPT(".",550)</f>
        <v>Other Specialty - Underwriting Results (GAAP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19" s="434">
        <f>B18+1</f>
        <v>11</v>
      </c>
      <c r="I19" s="57"/>
    </row>
    <row r="20" spans="1:9" outlineLevel="2" x14ac:dyDescent="0.2">
      <c r="A20" s="433"/>
      <c r="B20" s="434"/>
      <c r="D20" s="433"/>
      <c r="I20" s="57"/>
    </row>
    <row r="21" spans="1:9" ht="15.75" outlineLevel="2" x14ac:dyDescent="0.25">
      <c r="A21" s="55" t="s">
        <v>206</v>
      </c>
      <c r="B21" s="434"/>
      <c r="D21" s="433"/>
      <c r="I21" s="57"/>
    </row>
    <row r="22" spans="1:9" outlineLevel="2" x14ac:dyDescent="0.2">
      <c r="A22" s="433" t="str">
        <f>'Pg 12 Annuity Results'!A2&amp;REPT(".",550)</f>
        <v>Annuity Earnings (GAAP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22" s="434">
        <f>B19+1</f>
        <v>12</v>
      </c>
      <c r="D22" s="433"/>
      <c r="I22" s="57"/>
    </row>
    <row r="23" spans="1:9" outlineLevel="2" x14ac:dyDescent="0.2">
      <c r="A23" s="433" t="str">
        <f>'Pg 13 Annuity Benefit Expense'!A2&amp;REPT(".",550)</f>
        <v>Detail of Annuity Benefits Expense (GAAP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23" s="434">
        <f>B22+1</f>
        <v>13</v>
      </c>
      <c r="D23" s="433"/>
      <c r="I23" s="57"/>
    </row>
    <row r="24" spans="1:9" outlineLevel="2" x14ac:dyDescent="0.2">
      <c r="A24" s="433" t="str">
        <f>'Pg 14 Annuity_Spread'!A2&amp;REPT(".",550)</f>
        <v>Net Spread on Fixed Annuities (GAAP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24" s="434">
        <f>B23+1</f>
        <v>14</v>
      </c>
      <c r="D24" s="433"/>
      <c r="I24" s="57"/>
    </row>
    <row r="25" spans="1:9" outlineLevel="2" x14ac:dyDescent="0.2">
      <c r="A25" s="433" t="str">
        <f>'Pg 15 Annuity STAT Premiums'!A2&amp;REPT(".",550)</f>
        <v>Annuity Premiums (Statutory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25" s="434">
        <f>+B24+1</f>
        <v>15</v>
      </c>
      <c r="D25" s="433"/>
      <c r="I25" s="57"/>
    </row>
    <row r="26" spans="1:9" outlineLevel="2" x14ac:dyDescent="0.2">
      <c r="A26" s="433" t="str">
        <f>'Pg 16 Annuity_Benefits_Accum'!A2&amp;REPT(".",550)</f>
        <v>Fixed Annuity Benefits Accumulated (GAAP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26" s="434">
        <f>B25+1</f>
        <v>16</v>
      </c>
      <c r="D26" s="433"/>
      <c r="I26" s="57"/>
    </row>
    <row r="27" spans="1:9" outlineLevel="2" x14ac:dyDescent="0.2">
      <c r="A27" s="433"/>
      <c r="B27" s="434"/>
      <c r="D27" s="433"/>
      <c r="I27" s="57"/>
    </row>
    <row r="28" spans="1:9" ht="15.75" outlineLevel="2" x14ac:dyDescent="0.25">
      <c r="A28" s="55" t="s">
        <v>60</v>
      </c>
      <c r="B28" s="434"/>
      <c r="D28" s="433"/>
      <c r="I28" s="57"/>
    </row>
    <row r="29" spans="1:9" outlineLevel="2" x14ac:dyDescent="0.2">
      <c r="A29" s="433" t="str">
        <f>'Pg 17 Balance Sheet'!A2&amp;REPT(".",250)</f>
        <v>Consolidated Balance Sheet..........................................................................................................................................................................................................................................................</v>
      </c>
      <c r="B29" s="434">
        <f>B26+1</f>
        <v>17</v>
      </c>
      <c r="D29" s="433"/>
      <c r="I29" s="57"/>
    </row>
    <row r="30" spans="1:9" outlineLevel="2" x14ac:dyDescent="0.2">
      <c r="A30" s="433" t="str">
        <f>'Pg 18 Book Value'!A2&amp;REPT(".",250)</f>
        <v>Book Value Per Share and Price / Book Summary..........................................................................................................................................................................................................................................................</v>
      </c>
      <c r="B30" s="434">
        <f>B29+1</f>
        <v>18</v>
      </c>
      <c r="D30" s="433"/>
      <c r="I30" s="57"/>
    </row>
    <row r="31" spans="1:9" outlineLevel="2" x14ac:dyDescent="0.2">
      <c r="A31" s="433" t="str">
        <f>'Pg 19 Capitalization'!A2&amp;REPT(".",250)</f>
        <v>Capitalization..........................................................................................................................................................................................................................................................</v>
      </c>
      <c r="B31" s="434">
        <f>B30+1</f>
        <v>19</v>
      </c>
      <c r="I31" s="57"/>
    </row>
    <row r="32" spans="1:9" outlineLevel="2" x14ac:dyDescent="0.2">
      <c r="A32" s="433" t="str">
        <f>'Pg 20 Additional Supp Data'!A2&amp;REPT(".",250)</f>
        <v>Additional Supplemental Information..........................................................................................................................................................................................................................................................</v>
      </c>
      <c r="B32" s="434">
        <f>B31+1</f>
        <v>20</v>
      </c>
      <c r="I32" s="57"/>
    </row>
    <row r="33" spans="1:9" outlineLevel="2" x14ac:dyDescent="0.2">
      <c r="A33" s="433"/>
      <c r="B33" s="434"/>
      <c r="I33" s="57"/>
    </row>
    <row r="34" spans="1:9" ht="15.75" outlineLevel="2" x14ac:dyDescent="0.25">
      <c r="A34" s="55" t="s">
        <v>140</v>
      </c>
      <c r="B34" s="434"/>
      <c r="I34" s="57"/>
    </row>
    <row r="35" spans="1:9" outlineLevel="2" x14ac:dyDescent="0.2">
      <c r="A35" s="433" t="str">
        <f>'Pg 21 Inv_Schedule'!A2&amp;REPT(".",300)</f>
        <v>Total Cash and Investments and Quarterly Net Investment Income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35" s="434">
        <f>B32+1</f>
        <v>21</v>
      </c>
      <c r="I35" s="57"/>
    </row>
    <row r="36" spans="1:9" outlineLevel="2" x14ac:dyDescent="0.2">
      <c r="A36" s="433" t="str">
        <f>'Pg 22 Inv_FM_Cons'!A2&amp;REPT(".",300)</f>
        <v>Fixed Maturities - By Security Type - AFG Consolidate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36" s="434">
        <f t="shared" ref="B36:B41" si="0">B35+1</f>
        <v>22</v>
      </c>
      <c r="I36" s="57"/>
    </row>
    <row r="37" spans="1:9" outlineLevel="2" x14ac:dyDescent="0.2">
      <c r="A37" s="433" t="str">
        <f>'Pg 23 Inv_FM_Segment'!A2&amp;REPT(".",300)</f>
        <v>Fixed Maturities - By Security Type Portfolio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37" s="434">
        <f t="shared" si="0"/>
        <v>23</v>
      </c>
      <c r="I37" s="57"/>
    </row>
    <row r="38" spans="1:9" outlineLevel="2" x14ac:dyDescent="0.2">
      <c r="A38" s="433" t="str">
        <f>'Pg 24 FM NAIC des and Rating'!A2&amp;REPT(".",300)</f>
        <v>Fixed Maturities - Credit Rating and NAIC Designation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38" s="434">
        <f>B37+1</f>
        <v>24</v>
      </c>
      <c r="I38" s="57"/>
    </row>
    <row r="39" spans="1:9" outlineLevel="2" x14ac:dyDescent="0.2">
      <c r="A39" s="433" t="str">
        <f>'Pg 25 Inv_MBS_Cons'!A2&amp;REPT(".",300)</f>
        <v>Mortgage-Backed Securities - AFG Consolidate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39" s="434">
        <f t="shared" si="0"/>
        <v>25</v>
      </c>
      <c r="I39" s="57"/>
    </row>
    <row r="40" spans="1:9" outlineLevel="2" x14ac:dyDescent="0.2">
      <c r="A40" s="433" t="str">
        <f>'Pg 26 Inv_MBS_Segment'!A2&amp;REPT(".",300)</f>
        <v>Mortgage-Backed Securities Portfolio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40" s="434">
        <f t="shared" si="0"/>
        <v>26</v>
      </c>
      <c r="I40" s="57"/>
    </row>
    <row r="41" spans="1:9" outlineLevel="2" x14ac:dyDescent="0.2">
      <c r="A41" s="433" t="str">
        <f>'Pg 27 MBS NAIC des and Rating'!A2&amp;REPT(".",300)</f>
        <v>Mortgage-Backed Securities - Credit Rating and NAIC Designation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B41" s="434">
        <f t="shared" si="0"/>
        <v>27</v>
      </c>
      <c r="I41" s="57"/>
    </row>
    <row r="42" spans="1:9" x14ac:dyDescent="0.2">
      <c r="I42" s="59"/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&amp;C2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S29"/>
  <sheetViews>
    <sheetView zoomScale="85" zoomScaleNormal="85" workbookViewId="0"/>
  </sheetViews>
  <sheetFormatPr defaultRowHeight="15.75" customHeight="1" x14ac:dyDescent="0.25"/>
  <cols>
    <col min="1" max="1" width="50.6640625" style="275" customWidth="1"/>
    <col min="2" max="2" width="10.88671875" style="275" hidden="1" customWidth="1"/>
    <col min="3" max="4" width="10.88671875" style="275" customWidth="1"/>
    <col min="5" max="6" width="10.77734375" style="275" customWidth="1"/>
    <col min="7" max="7" width="10.77734375" style="281" customWidth="1"/>
    <col min="8" max="9" width="10.77734375" style="281" hidden="1" customWidth="1"/>
    <col min="10" max="10" width="1.77734375" style="281" customWidth="1"/>
    <col min="11" max="12" width="10.6640625" style="281" hidden="1" customWidth="1"/>
    <col min="13" max="13" width="1.77734375" style="281" hidden="1" customWidth="1"/>
    <col min="14" max="15" width="10.6640625" style="281" customWidth="1"/>
    <col min="16" max="16" width="1.77734375" style="281" hidden="1" customWidth="1"/>
    <col min="17" max="19" width="10.6640625" style="281" hidden="1" customWidth="1"/>
    <col min="20" max="16384" width="8.88671875" style="281"/>
  </cols>
  <sheetData>
    <row r="1" spans="1:19" s="275" customFormat="1" ht="18" x14ac:dyDescent="0.25">
      <c r="A1" s="273" t="str">
        <f>'Cover Page'!$H$10</f>
        <v>American Financial Group, Inc.</v>
      </c>
      <c r="B1" s="274"/>
      <c r="C1" s="274"/>
      <c r="D1" s="274"/>
      <c r="E1" s="274"/>
      <c r="F1" s="274"/>
    </row>
    <row r="2" spans="1:19" s="275" customFormat="1" ht="18" x14ac:dyDescent="0.25">
      <c r="A2" s="276" t="s">
        <v>306</v>
      </c>
      <c r="B2" s="274"/>
      <c r="C2" s="274"/>
      <c r="D2" s="274"/>
      <c r="E2" s="274"/>
      <c r="F2" s="274"/>
    </row>
    <row r="3" spans="1:19" s="275" customFormat="1" x14ac:dyDescent="0.25">
      <c r="A3" s="277" t="s">
        <v>14</v>
      </c>
      <c r="B3" s="274"/>
      <c r="C3" s="274"/>
      <c r="D3" s="274"/>
      <c r="E3" s="274"/>
      <c r="F3" s="274"/>
    </row>
    <row r="4" spans="1:19" s="275" customFormat="1" ht="15.75" customHeight="1" x14ac:dyDescent="0.25">
      <c r="A4" s="278"/>
      <c r="B4" s="278"/>
      <c r="C4" s="278"/>
      <c r="D4" s="278"/>
      <c r="E4" s="278"/>
      <c r="F4" s="278"/>
    </row>
    <row r="5" spans="1:19" s="260" customFormat="1" x14ac:dyDescent="0.25">
      <c r="A5" s="93"/>
      <c r="B5" s="145" t="s">
        <v>2</v>
      </c>
      <c r="C5" s="145" t="s">
        <v>2</v>
      </c>
      <c r="D5" s="145"/>
      <c r="E5" s="145"/>
      <c r="F5" s="146"/>
      <c r="G5" s="146"/>
      <c r="H5" s="146"/>
      <c r="I5" s="146"/>
      <c r="J5" s="18"/>
      <c r="K5" s="146" t="s">
        <v>20</v>
      </c>
      <c r="L5" s="146"/>
      <c r="M5" s="232"/>
      <c r="N5" s="146" t="s">
        <v>19</v>
      </c>
      <c r="O5" s="146"/>
      <c r="P5" s="232"/>
      <c r="Q5" s="146" t="s">
        <v>3</v>
      </c>
      <c r="R5" s="146" t="s">
        <v>3</v>
      </c>
      <c r="S5" s="233"/>
    </row>
    <row r="6" spans="1:19" ht="20.25" x14ac:dyDescent="0.55000000000000004">
      <c r="B6" s="69" t="s">
        <v>384</v>
      </c>
      <c r="C6" s="69" t="s">
        <v>385</v>
      </c>
      <c r="D6" s="69" t="s">
        <v>386</v>
      </c>
      <c r="E6" s="69" t="s">
        <v>387</v>
      </c>
      <c r="F6" s="69" t="s">
        <v>322</v>
      </c>
      <c r="G6" s="69" t="s">
        <v>323</v>
      </c>
      <c r="H6" s="69" t="s">
        <v>324</v>
      </c>
      <c r="I6" s="69" t="s">
        <v>325</v>
      </c>
      <c r="J6" s="84"/>
      <c r="K6" s="84" t="s">
        <v>386</v>
      </c>
      <c r="L6" s="84" t="s">
        <v>324</v>
      </c>
      <c r="M6" s="84"/>
      <c r="N6" s="84" t="s">
        <v>385</v>
      </c>
      <c r="O6" s="84" t="s">
        <v>323</v>
      </c>
      <c r="P6" s="84"/>
      <c r="Q6" s="84" t="s">
        <v>384</v>
      </c>
      <c r="R6" s="84" t="s">
        <v>322</v>
      </c>
      <c r="S6" s="84" t="s">
        <v>117</v>
      </c>
    </row>
    <row r="7" spans="1:19" ht="15.75" customHeight="1" x14ac:dyDescent="0.25">
      <c r="A7" s="444" t="s">
        <v>151</v>
      </c>
      <c r="B7" s="17"/>
      <c r="C7" s="17"/>
      <c r="D7" s="17"/>
      <c r="E7" s="17"/>
      <c r="F7" s="17"/>
      <c r="G7" s="17"/>
      <c r="H7" s="17"/>
      <c r="I7" s="17"/>
      <c r="J7" s="17"/>
      <c r="K7" s="237"/>
      <c r="L7" s="237"/>
      <c r="M7" s="232"/>
      <c r="N7" s="237"/>
      <c r="O7" s="237"/>
      <c r="P7" s="232"/>
      <c r="Q7" s="237"/>
      <c r="R7" s="237"/>
      <c r="S7" s="237"/>
    </row>
    <row r="8" spans="1:19" ht="15.7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237"/>
      <c r="L8" s="237"/>
      <c r="M8" s="232"/>
      <c r="N8" s="237"/>
      <c r="O8" s="237"/>
      <c r="P8" s="232"/>
      <c r="Q8" s="237"/>
      <c r="R8" s="237"/>
      <c r="S8" s="237"/>
    </row>
    <row r="9" spans="1:19" ht="15.75" customHeight="1" x14ac:dyDescent="0.2">
      <c r="A9" s="209" t="s">
        <v>301</v>
      </c>
      <c r="B9" s="212">
        <f>Q9-N9</f>
        <v>-1728</v>
      </c>
      <c r="C9" s="212">
        <f>N9-K9</f>
        <v>585</v>
      </c>
      <c r="D9" s="212">
        <f>(K9-E9)</f>
        <v>526</v>
      </c>
      <c r="E9" s="95">
        <v>617</v>
      </c>
      <c r="F9" s="212">
        <f>R9-O9</f>
        <v>562</v>
      </c>
      <c r="G9" s="212">
        <f>O9-L9</f>
        <v>528</v>
      </c>
      <c r="H9" s="212">
        <f>L9-I9</f>
        <v>530</v>
      </c>
      <c r="I9" s="95">
        <v>510</v>
      </c>
      <c r="J9" s="212"/>
      <c r="K9" s="212">
        <v>1143</v>
      </c>
      <c r="L9" s="212">
        <v>1040</v>
      </c>
      <c r="M9" s="213"/>
      <c r="N9" s="212">
        <v>1728</v>
      </c>
      <c r="O9" s="212">
        <v>1568</v>
      </c>
      <c r="P9" s="213"/>
      <c r="Q9" s="212">
        <v>0</v>
      </c>
      <c r="R9" s="212">
        <v>2130</v>
      </c>
      <c r="S9" s="212">
        <v>1871</v>
      </c>
    </row>
    <row r="10" spans="1:19" ht="15.75" customHeight="1" x14ac:dyDescent="0.2">
      <c r="A10" s="209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3"/>
      <c r="N10" s="212"/>
      <c r="O10" s="212"/>
      <c r="P10" s="213"/>
      <c r="Q10" s="212"/>
      <c r="R10" s="212"/>
      <c r="S10" s="212"/>
    </row>
    <row r="11" spans="1:19" ht="15.75" customHeight="1" x14ac:dyDescent="0.2">
      <c r="A11" s="209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3"/>
      <c r="N11" s="212"/>
      <c r="O11" s="212"/>
      <c r="P11" s="213"/>
      <c r="Q11" s="212"/>
      <c r="R11" s="212"/>
      <c r="S11" s="212"/>
    </row>
    <row r="12" spans="1:19" ht="15.75" customHeight="1" x14ac:dyDescent="0.2">
      <c r="A12" s="454"/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9"/>
      <c r="N12" s="448"/>
      <c r="O12" s="448"/>
      <c r="P12" s="449"/>
      <c r="Q12" s="448"/>
      <c r="R12" s="448"/>
      <c r="S12" s="448"/>
    </row>
    <row r="13" spans="1:19" ht="15.75" customHeight="1" x14ac:dyDescent="0.2">
      <c r="A13" s="209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3"/>
      <c r="N13" s="212"/>
      <c r="O13" s="212"/>
      <c r="P13" s="213"/>
      <c r="Q13" s="212"/>
      <c r="R13" s="212"/>
      <c r="S13" s="212"/>
    </row>
    <row r="14" spans="1:19" ht="15.75" customHeight="1" x14ac:dyDescent="0.2">
      <c r="A14" s="209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3"/>
      <c r="N14" s="212"/>
      <c r="O14" s="212"/>
      <c r="P14" s="213"/>
      <c r="Q14" s="212"/>
      <c r="R14" s="212"/>
      <c r="S14" s="212"/>
    </row>
    <row r="15" spans="1:19" ht="20.25" x14ac:dyDescent="0.55000000000000004">
      <c r="A15" s="209"/>
      <c r="B15" s="69" t="s">
        <v>384</v>
      </c>
      <c r="C15" s="69" t="s">
        <v>385</v>
      </c>
      <c r="D15" s="69" t="s">
        <v>386</v>
      </c>
      <c r="E15" s="69" t="s">
        <v>387</v>
      </c>
      <c r="F15" s="69" t="s">
        <v>322</v>
      </c>
      <c r="G15" s="69" t="s">
        <v>323</v>
      </c>
      <c r="H15" s="69" t="s">
        <v>324</v>
      </c>
      <c r="I15" s="69" t="s">
        <v>325</v>
      </c>
      <c r="J15" s="84"/>
      <c r="K15" s="69" t="s">
        <v>325</v>
      </c>
      <c r="L15" s="84"/>
      <c r="M15" s="84"/>
      <c r="N15" s="465">
        <v>41820</v>
      </c>
      <c r="O15" s="84"/>
      <c r="P15" s="84"/>
      <c r="Q15" s="84"/>
      <c r="R15" s="465">
        <v>41639</v>
      </c>
      <c r="S15" s="212"/>
    </row>
    <row r="16" spans="1:19" ht="15.75" customHeight="1" x14ac:dyDescent="0.25">
      <c r="A16" s="444" t="s">
        <v>302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3"/>
      <c r="N16" s="212"/>
      <c r="O16" s="212"/>
      <c r="P16" s="213"/>
      <c r="Q16" s="213"/>
      <c r="R16" s="212"/>
      <c r="S16" s="212"/>
    </row>
    <row r="17" spans="1:19" ht="15.75" customHeight="1" x14ac:dyDescent="0.25">
      <c r="A17" s="444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3"/>
      <c r="N17" s="212"/>
      <c r="O17" s="212"/>
      <c r="P17" s="213"/>
      <c r="Q17" s="213"/>
      <c r="R17" s="212"/>
      <c r="S17" s="212"/>
    </row>
    <row r="18" spans="1:19" ht="15.75" customHeight="1" x14ac:dyDescent="0.2">
      <c r="A18" s="209" t="s">
        <v>151</v>
      </c>
      <c r="B18" s="212">
        <v>0</v>
      </c>
      <c r="C18" s="212">
        <v>2356</v>
      </c>
      <c r="D18" s="212">
        <v>2399</v>
      </c>
      <c r="E18" s="212">
        <v>2340</v>
      </c>
      <c r="F18" s="212">
        <v>2286</v>
      </c>
      <c r="G18" s="212">
        <v>2206</v>
      </c>
      <c r="H18" s="212">
        <v>2227</v>
      </c>
      <c r="I18" s="212">
        <v>1981</v>
      </c>
      <c r="J18" s="212"/>
      <c r="K18" s="212">
        <v>1981</v>
      </c>
      <c r="L18" s="212"/>
      <c r="M18" s="213"/>
      <c r="N18" s="212">
        <v>2227</v>
      </c>
      <c r="O18" s="212"/>
      <c r="P18" s="213"/>
      <c r="Q18" s="213"/>
      <c r="R18" s="212">
        <v>1896</v>
      </c>
      <c r="S18" s="212"/>
    </row>
    <row r="19" spans="1:19" ht="15.75" customHeight="1" x14ac:dyDescent="0.2">
      <c r="A19" s="209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3"/>
      <c r="N19" s="212"/>
      <c r="O19" s="212"/>
      <c r="P19" s="213"/>
      <c r="Q19" s="213"/>
      <c r="R19" s="212"/>
      <c r="S19" s="212"/>
    </row>
    <row r="20" spans="1:19" ht="15.75" customHeight="1" x14ac:dyDescent="0.2">
      <c r="A20" s="209" t="s">
        <v>303</v>
      </c>
      <c r="B20" s="95">
        <v>0</v>
      </c>
      <c r="C20" s="95">
        <v>1816</v>
      </c>
      <c r="D20" s="95">
        <v>1911</v>
      </c>
      <c r="E20" s="95">
        <v>1861</v>
      </c>
      <c r="F20" s="95">
        <v>1822</v>
      </c>
      <c r="G20" s="95">
        <v>1818</v>
      </c>
      <c r="H20" s="95">
        <v>1751</v>
      </c>
      <c r="I20" s="95">
        <v>1688</v>
      </c>
      <c r="J20" s="212"/>
      <c r="K20" s="95">
        <v>1688</v>
      </c>
      <c r="L20" s="212"/>
      <c r="M20" s="213"/>
      <c r="N20" s="95">
        <v>1751</v>
      </c>
      <c r="O20" s="212"/>
      <c r="P20" s="213"/>
      <c r="Q20" s="213"/>
      <c r="R20" s="95">
        <v>1661</v>
      </c>
      <c r="S20" s="212"/>
    </row>
    <row r="21" spans="1:19" ht="15.75" customHeight="1" x14ac:dyDescent="0.2">
      <c r="A21" s="209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3"/>
      <c r="N21" s="212"/>
      <c r="O21" s="212"/>
      <c r="P21" s="213"/>
      <c r="Q21" s="213"/>
      <c r="R21" s="212"/>
      <c r="S21" s="212"/>
    </row>
    <row r="22" spans="1:19" ht="15.75" customHeight="1" x14ac:dyDescent="0.25">
      <c r="A22" s="444" t="s">
        <v>304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3"/>
      <c r="N22" s="212"/>
      <c r="O22" s="212"/>
      <c r="P22" s="213"/>
      <c r="Q22" s="213"/>
      <c r="R22" s="212"/>
      <c r="S22" s="212"/>
    </row>
    <row r="23" spans="1:19" ht="15.75" customHeight="1" x14ac:dyDescent="0.25">
      <c r="A23" s="444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3"/>
      <c r="N23" s="212"/>
      <c r="O23" s="212"/>
      <c r="P23" s="213"/>
      <c r="Q23" s="213"/>
      <c r="R23" s="212"/>
      <c r="S23" s="212"/>
    </row>
    <row r="24" spans="1:19" ht="15.75" customHeight="1" x14ac:dyDescent="0.2">
      <c r="A24" s="209" t="s">
        <v>151</v>
      </c>
      <c r="B24" s="212">
        <v>0</v>
      </c>
      <c r="C24" s="212">
        <v>315</v>
      </c>
      <c r="D24" s="212">
        <v>315</v>
      </c>
      <c r="E24" s="212">
        <v>315</v>
      </c>
      <c r="F24" s="212">
        <v>315</v>
      </c>
      <c r="G24" s="212">
        <v>335</v>
      </c>
      <c r="H24" s="212">
        <v>335</v>
      </c>
      <c r="I24" s="212">
        <v>335</v>
      </c>
      <c r="J24" s="212"/>
      <c r="K24" s="212">
        <v>335</v>
      </c>
      <c r="L24" s="212"/>
      <c r="M24" s="213"/>
      <c r="N24" s="212">
        <v>335</v>
      </c>
      <c r="O24" s="212"/>
      <c r="P24" s="213"/>
      <c r="Q24" s="213"/>
      <c r="R24" s="212">
        <v>335</v>
      </c>
      <c r="S24" s="212"/>
    </row>
    <row r="25" spans="1:19" ht="15.75" customHeight="1" x14ac:dyDescent="0.35">
      <c r="A25" s="209" t="s">
        <v>285</v>
      </c>
      <c r="B25" s="67">
        <v>0</v>
      </c>
      <c r="C25" s="67">
        <v>358</v>
      </c>
      <c r="D25" s="67">
        <v>358</v>
      </c>
      <c r="E25" s="67">
        <v>358</v>
      </c>
      <c r="F25" s="67">
        <v>358</v>
      </c>
      <c r="G25" s="67">
        <v>275</v>
      </c>
      <c r="H25" s="67">
        <v>275</v>
      </c>
      <c r="I25" s="67">
        <v>275</v>
      </c>
      <c r="J25" s="67"/>
      <c r="K25" s="67">
        <v>275</v>
      </c>
      <c r="L25" s="67"/>
      <c r="M25" s="450"/>
      <c r="N25" s="67">
        <v>275</v>
      </c>
      <c r="O25" s="67"/>
      <c r="P25" s="450"/>
      <c r="Q25" s="450"/>
      <c r="R25" s="67">
        <v>275</v>
      </c>
      <c r="S25" s="67"/>
    </row>
    <row r="26" spans="1:19" ht="15.75" customHeight="1" x14ac:dyDescent="0.4">
      <c r="A26" s="455" t="s">
        <v>305</v>
      </c>
      <c r="B26" s="451">
        <f>SUM(B24:B25)</f>
        <v>0</v>
      </c>
      <c r="C26" s="451">
        <f t="shared" ref="C26:E26" si="0">SUM(C24:C25)</f>
        <v>673</v>
      </c>
      <c r="D26" s="451">
        <f t="shared" si="0"/>
        <v>673</v>
      </c>
      <c r="E26" s="451">
        <f t="shared" si="0"/>
        <v>673</v>
      </c>
      <c r="F26" s="451">
        <f>SUM(F24:F25)</f>
        <v>673</v>
      </c>
      <c r="G26" s="451">
        <f t="shared" ref="G26:I26" si="1">SUM(G24:G25)</f>
        <v>610</v>
      </c>
      <c r="H26" s="451">
        <f t="shared" si="1"/>
        <v>610</v>
      </c>
      <c r="I26" s="451">
        <f t="shared" si="1"/>
        <v>610</v>
      </c>
      <c r="J26" s="452"/>
      <c r="K26" s="451">
        <f t="shared" ref="K26" si="2">SUM(K24:K25)</f>
        <v>610</v>
      </c>
      <c r="L26" s="452"/>
      <c r="M26" s="453"/>
      <c r="N26" s="451">
        <f t="shared" ref="N26" si="3">SUM(N24:N25)</f>
        <v>610</v>
      </c>
      <c r="O26" s="452"/>
      <c r="P26" s="453"/>
      <c r="Q26" s="453"/>
      <c r="R26" s="451">
        <f t="shared" ref="R26" si="4">SUM(R24:R25)</f>
        <v>610</v>
      </c>
      <c r="S26" s="452"/>
    </row>
    <row r="27" spans="1:19" ht="15.75" customHeight="1" x14ac:dyDescent="0.2">
      <c r="A27" s="209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3"/>
      <c r="N27" s="212"/>
      <c r="O27" s="212"/>
      <c r="P27" s="213"/>
      <c r="Q27" s="213"/>
      <c r="R27" s="212"/>
      <c r="S27" s="212"/>
    </row>
    <row r="28" spans="1:19" ht="15.75" customHeight="1" x14ac:dyDescent="0.2"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3"/>
      <c r="N28" s="212"/>
      <c r="O28" s="212"/>
      <c r="P28" s="213"/>
      <c r="Q28" s="213"/>
      <c r="R28" s="212"/>
      <c r="S28" s="212"/>
    </row>
    <row r="29" spans="1:19" ht="15.75" customHeight="1" x14ac:dyDescent="0.2"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3"/>
      <c r="N29" s="212"/>
      <c r="O29" s="212"/>
      <c r="P29" s="213"/>
      <c r="Q29" s="213"/>
      <c r="R29" s="212"/>
      <c r="S29" s="212"/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&amp;C20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48"/>
  <sheetViews>
    <sheetView zoomScale="85" zoomScaleNormal="85" workbookViewId="0"/>
  </sheetViews>
  <sheetFormatPr defaultRowHeight="15.75" customHeight="1" x14ac:dyDescent="0.2"/>
  <cols>
    <col min="1" max="1" width="40.77734375" style="298" customWidth="1"/>
    <col min="2" max="6" width="12.77734375" style="298" customWidth="1"/>
    <col min="7" max="7" width="12.77734375" style="429" customWidth="1"/>
    <col min="8" max="8" width="12.6640625" style="429" customWidth="1"/>
    <col min="9" max="16384" width="8.88671875" style="298"/>
  </cols>
  <sheetData>
    <row r="1" spans="1:11" s="287" customFormat="1" ht="18" x14ac:dyDescent="0.25">
      <c r="A1" s="131" t="str">
        <f>'Cover Page'!$H$10</f>
        <v>American Financial Group, Inc.</v>
      </c>
      <c r="B1" s="227"/>
      <c r="C1" s="227"/>
      <c r="D1" s="227"/>
      <c r="E1" s="227"/>
      <c r="G1" s="428"/>
      <c r="H1" s="428"/>
    </row>
    <row r="2" spans="1:11" s="287" customFormat="1" ht="20.25" x14ac:dyDescent="0.3">
      <c r="A2" s="226" t="s">
        <v>315</v>
      </c>
      <c r="B2" s="227"/>
      <c r="C2" s="227"/>
      <c r="D2" s="227"/>
      <c r="E2" s="227"/>
      <c r="F2" s="288"/>
      <c r="G2" s="428"/>
      <c r="H2" s="428"/>
    </row>
    <row r="3" spans="1:11" s="287" customFormat="1" ht="18" x14ac:dyDescent="0.25">
      <c r="A3" s="390" t="s">
        <v>398</v>
      </c>
      <c r="B3" s="227"/>
      <c r="C3" s="227"/>
      <c r="D3" s="227"/>
      <c r="E3" s="227"/>
      <c r="G3" s="428"/>
      <c r="H3" s="428"/>
    </row>
    <row r="4" spans="1:11" s="287" customFormat="1" ht="18" x14ac:dyDescent="0.25">
      <c r="A4" s="289" t="s">
        <v>14</v>
      </c>
      <c r="B4" s="227"/>
      <c r="C4" s="227"/>
      <c r="D4" s="227"/>
      <c r="E4" s="227"/>
      <c r="G4" s="428"/>
      <c r="H4" s="428"/>
    </row>
    <row r="5" spans="1:11" s="290" customFormat="1" ht="15.75" customHeight="1" x14ac:dyDescent="0.25">
      <c r="A5" s="17"/>
      <c r="B5" s="146" t="s">
        <v>10</v>
      </c>
      <c r="C5" s="146"/>
      <c r="D5" s="146"/>
      <c r="E5" s="146"/>
      <c r="F5" s="374"/>
      <c r="G5" s="374"/>
      <c r="H5" s="293"/>
    </row>
    <row r="6" spans="1:11" s="290" customFormat="1" ht="15.75" customHeight="1" x14ac:dyDescent="0.25">
      <c r="A6" s="17"/>
      <c r="B6" s="426" t="s">
        <v>224</v>
      </c>
      <c r="C6" s="426"/>
      <c r="D6" s="425"/>
      <c r="F6" s="425"/>
      <c r="G6" s="426" t="s">
        <v>17</v>
      </c>
      <c r="H6" s="293"/>
    </row>
    <row r="7" spans="1:11" s="290" customFormat="1" ht="15.75" customHeight="1" x14ac:dyDescent="0.25">
      <c r="A7" s="17"/>
      <c r="B7" s="426" t="s">
        <v>282</v>
      </c>
      <c r="C7" s="426" t="s">
        <v>225</v>
      </c>
      <c r="D7" s="425"/>
      <c r="E7" s="426" t="s">
        <v>228</v>
      </c>
      <c r="F7" s="426" t="s">
        <v>226</v>
      </c>
      <c r="G7" s="426" t="s">
        <v>170</v>
      </c>
      <c r="H7" s="293"/>
    </row>
    <row r="8" spans="1:11" s="290" customFormat="1" ht="20.25" x14ac:dyDescent="0.55000000000000004">
      <c r="A8" s="17"/>
      <c r="B8" s="427" t="s">
        <v>283</v>
      </c>
      <c r="C8" s="427" t="s">
        <v>389</v>
      </c>
      <c r="D8" s="427" t="s">
        <v>5</v>
      </c>
      <c r="E8" s="427" t="s">
        <v>229</v>
      </c>
      <c r="F8" s="427" t="s">
        <v>227</v>
      </c>
      <c r="G8" s="427" t="s">
        <v>15</v>
      </c>
      <c r="H8" s="293"/>
    </row>
    <row r="9" spans="1:11" s="290" customFormat="1" x14ac:dyDescent="0.25">
      <c r="A9" s="87" t="s">
        <v>199</v>
      </c>
      <c r="B9" s="87"/>
      <c r="C9" s="87"/>
      <c r="D9" s="87"/>
      <c r="F9" s="87"/>
      <c r="G9" s="87"/>
      <c r="H9" s="291"/>
      <c r="I9" s="291"/>
      <c r="J9" s="292"/>
      <c r="K9" s="291"/>
    </row>
    <row r="10" spans="1:11" s="290" customFormat="1" ht="15.75" customHeight="1" x14ac:dyDescent="0.2">
      <c r="A10" s="17" t="s">
        <v>185</v>
      </c>
      <c r="B10" s="22">
        <v>570</v>
      </c>
      <c r="C10" s="22">
        <v>177</v>
      </c>
      <c r="D10" s="22">
        <v>147</v>
      </c>
      <c r="E10" s="22">
        <v>0</v>
      </c>
      <c r="F10" s="22">
        <f t="shared" ref="F10:F16" si="0">SUM(B10:E10)</f>
        <v>894</v>
      </c>
      <c r="G10" s="302">
        <f t="shared" ref="G10:G15" si="1">ROUND(F10/$F$17,2)</f>
        <v>0.02</v>
      </c>
      <c r="H10" s="291"/>
      <c r="I10" s="291"/>
      <c r="J10" s="292"/>
      <c r="K10" s="291"/>
    </row>
    <row r="11" spans="1:11" s="290" customFormat="1" ht="15.75" customHeight="1" x14ac:dyDescent="0.2">
      <c r="A11" s="17" t="s">
        <v>326</v>
      </c>
      <c r="B11" s="17">
        <v>6648</v>
      </c>
      <c r="C11" s="17">
        <v>26452</v>
      </c>
      <c r="D11" s="17">
        <v>14</v>
      </c>
      <c r="E11" s="17">
        <v>0</v>
      </c>
      <c r="F11" s="17">
        <f t="shared" si="0"/>
        <v>33114</v>
      </c>
      <c r="G11" s="302">
        <f>ROUND(F11/$F$17,2)</f>
        <v>0.87</v>
      </c>
      <c r="H11" s="291"/>
      <c r="I11" s="291"/>
      <c r="J11" s="292"/>
      <c r="K11" s="291"/>
    </row>
    <row r="12" spans="1:11" s="290" customFormat="1" ht="15.75" customHeight="1" x14ac:dyDescent="0.2">
      <c r="A12" s="17" t="s">
        <v>327</v>
      </c>
      <c r="B12" s="17">
        <v>147</v>
      </c>
      <c r="C12" s="17">
        <v>122</v>
      </c>
      <c r="D12" s="17">
        <v>0</v>
      </c>
      <c r="E12" s="17">
        <v>0</v>
      </c>
      <c r="F12" s="17">
        <f t="shared" si="0"/>
        <v>269</v>
      </c>
      <c r="G12" s="302">
        <f t="shared" si="1"/>
        <v>0.01</v>
      </c>
      <c r="H12" s="291"/>
      <c r="I12" s="291"/>
      <c r="J12" s="292"/>
      <c r="K12" s="291"/>
    </row>
    <row r="13" spans="1:11" s="290" customFormat="1" ht="15.75" customHeight="1" x14ac:dyDescent="0.2">
      <c r="A13" s="17" t="s">
        <v>124</v>
      </c>
      <c r="B13" s="17">
        <v>1209</v>
      </c>
      <c r="C13" s="17">
        <v>576</v>
      </c>
      <c r="D13" s="17">
        <v>46</v>
      </c>
      <c r="E13" s="17">
        <v>0</v>
      </c>
      <c r="F13" s="17">
        <f t="shared" si="0"/>
        <v>1831</v>
      </c>
      <c r="G13" s="302">
        <f>ROUND(F13/$F$17,2)</f>
        <v>0.05</v>
      </c>
      <c r="H13" s="291"/>
      <c r="I13" s="291"/>
      <c r="J13" s="292"/>
      <c r="K13" s="291"/>
    </row>
    <row r="14" spans="1:11" s="290" customFormat="1" ht="15.75" customHeight="1" x14ac:dyDescent="0.2">
      <c r="A14" s="17" t="s">
        <v>125</v>
      </c>
      <c r="B14" s="17">
        <v>0</v>
      </c>
      <c r="C14" s="17">
        <v>221</v>
      </c>
      <c r="D14" s="17">
        <v>0</v>
      </c>
      <c r="E14" s="17">
        <v>0</v>
      </c>
      <c r="F14" s="17">
        <f t="shared" si="0"/>
        <v>221</v>
      </c>
      <c r="G14" s="302">
        <f>ROUND(F14/$F$17,2)-0.01</f>
        <v>0</v>
      </c>
      <c r="H14" s="293"/>
    </row>
    <row r="15" spans="1:11" s="290" customFormat="1" ht="15.75" customHeight="1" x14ac:dyDescent="0.2">
      <c r="A15" s="17" t="s">
        <v>126</v>
      </c>
      <c r="B15" s="17">
        <v>187</v>
      </c>
      <c r="C15" s="17">
        <v>807</v>
      </c>
      <c r="D15" s="17">
        <v>0</v>
      </c>
      <c r="E15" s="17">
        <v>0</v>
      </c>
      <c r="F15" s="17">
        <f t="shared" si="0"/>
        <v>994</v>
      </c>
      <c r="G15" s="302">
        <f t="shared" si="1"/>
        <v>0.03</v>
      </c>
      <c r="H15" s="292"/>
      <c r="I15" s="292"/>
      <c r="J15" s="292"/>
      <c r="K15" s="292"/>
    </row>
    <row r="16" spans="1:11" s="290" customFormat="1" ht="17.25" x14ac:dyDescent="0.35">
      <c r="A16" s="17" t="s">
        <v>127</v>
      </c>
      <c r="B16" s="88">
        <v>442</v>
      </c>
      <c r="C16" s="88">
        <v>673</v>
      </c>
      <c r="D16" s="88">
        <v>18</v>
      </c>
      <c r="E16" s="88">
        <v>-324</v>
      </c>
      <c r="F16" s="88">
        <f t="shared" si="0"/>
        <v>809</v>
      </c>
      <c r="G16" s="353" t="str">
        <f>TEXT(ROUND(+F16/$F$17,2),"0%")</f>
        <v>2%</v>
      </c>
      <c r="H16" s="293"/>
    </row>
    <row r="17" spans="1:8" s="351" customFormat="1" ht="18" x14ac:dyDescent="0.4">
      <c r="A17" s="359" t="s">
        <v>175</v>
      </c>
      <c r="B17" s="346">
        <f>SUM(B10:B16)</f>
        <v>9203</v>
      </c>
      <c r="C17" s="346">
        <f>SUM(C10:C16)</f>
        <v>29028</v>
      </c>
      <c r="D17" s="346">
        <f>SUM(D10:D16)</f>
        <v>225</v>
      </c>
      <c r="E17" s="346">
        <f>SUM(E10:E16)</f>
        <v>-324</v>
      </c>
      <c r="F17" s="346">
        <f>SUM(F10:F16)</f>
        <v>38132</v>
      </c>
      <c r="G17" s="376" t="str">
        <f>TEXT(SUM(SUM(G10:G15)+ROUND(F16/F17,3)),"0%")</f>
        <v>100%</v>
      </c>
      <c r="H17" s="409"/>
    </row>
    <row r="18" spans="1:8" s="351" customFormat="1" ht="18" x14ac:dyDescent="0.4">
      <c r="A18" s="359"/>
      <c r="B18" s="346"/>
      <c r="C18" s="346"/>
      <c r="D18" s="346"/>
      <c r="E18" s="346"/>
      <c r="F18" s="346"/>
      <c r="G18" s="376"/>
      <c r="H18" s="409"/>
    </row>
    <row r="19" spans="1:8" s="351" customFormat="1" ht="17.25" x14ac:dyDescent="0.35">
      <c r="A19" s="289" t="s">
        <v>391</v>
      </c>
      <c r="B19" s="383"/>
      <c r="C19" s="383"/>
      <c r="D19" s="383"/>
      <c r="E19" s="383"/>
      <c r="F19" s="383"/>
      <c r="G19" s="485"/>
      <c r="H19" s="409"/>
    </row>
    <row r="20" spans="1:8" s="351" customFormat="1" ht="17.25" x14ac:dyDescent="0.35">
      <c r="A20" s="489" t="s">
        <v>390</v>
      </c>
      <c r="B20" s="382"/>
      <c r="C20" s="382"/>
      <c r="D20" s="382"/>
      <c r="E20" s="382"/>
      <c r="F20" s="485"/>
      <c r="G20" s="293"/>
      <c r="H20" s="409"/>
    </row>
    <row r="21" spans="1:8" s="351" customFormat="1" ht="17.25" x14ac:dyDescent="0.35">
      <c r="A21" s="488"/>
      <c r="B21" s="486"/>
      <c r="C21" s="486"/>
      <c r="D21" s="486"/>
      <c r="E21" s="486"/>
      <c r="F21" s="487"/>
      <c r="G21" s="437"/>
      <c r="H21" s="409"/>
    </row>
    <row r="22" spans="1:8" s="351" customFormat="1" ht="18" x14ac:dyDescent="0.4">
      <c r="A22" s="408"/>
      <c r="B22" s="89"/>
      <c r="C22" s="89"/>
      <c r="D22" s="89"/>
      <c r="E22" s="89"/>
      <c r="F22" s="376"/>
      <c r="G22" s="409"/>
      <c r="H22" s="409"/>
    </row>
    <row r="23" spans="1:8" s="351" customFormat="1" ht="18" x14ac:dyDescent="0.4">
      <c r="A23" s="408"/>
      <c r="B23" s="426" t="s">
        <v>224</v>
      </c>
      <c r="C23" s="426"/>
      <c r="D23" s="425"/>
      <c r="E23" s="425"/>
      <c r="F23" s="376"/>
      <c r="G23" s="409"/>
      <c r="H23" s="409"/>
    </row>
    <row r="24" spans="1:8" s="351" customFormat="1" x14ac:dyDescent="0.25">
      <c r="A24" s="408"/>
      <c r="B24" s="426" t="s">
        <v>282</v>
      </c>
      <c r="C24" s="426" t="s">
        <v>225</v>
      </c>
      <c r="D24" s="425"/>
      <c r="E24" s="426" t="s">
        <v>228</v>
      </c>
      <c r="F24" s="426" t="s">
        <v>226</v>
      </c>
      <c r="G24" s="409"/>
      <c r="H24" s="409"/>
    </row>
    <row r="25" spans="1:8" s="351" customFormat="1" ht="20.25" x14ac:dyDescent="0.55000000000000004">
      <c r="A25" s="408"/>
      <c r="B25" s="427" t="s">
        <v>283</v>
      </c>
      <c r="C25" s="427" t="s">
        <v>284</v>
      </c>
      <c r="D25" s="427" t="s">
        <v>5</v>
      </c>
      <c r="E25" s="427" t="s">
        <v>229</v>
      </c>
      <c r="F25" s="427" t="s">
        <v>227</v>
      </c>
      <c r="G25" s="409"/>
      <c r="H25" s="409"/>
    </row>
    <row r="26" spans="1:8" s="351" customFormat="1" x14ac:dyDescent="0.25">
      <c r="A26" s="87" t="s">
        <v>314</v>
      </c>
      <c r="B26" s="22"/>
      <c r="C26" s="22"/>
      <c r="D26" s="22"/>
      <c r="F26" s="22"/>
      <c r="G26" s="293"/>
      <c r="H26" s="293"/>
    </row>
    <row r="27" spans="1:8" s="351" customFormat="1" ht="15" x14ac:dyDescent="0.2">
      <c r="A27" s="289" t="s">
        <v>326</v>
      </c>
      <c r="B27" s="22">
        <v>62</v>
      </c>
      <c r="C27" s="22">
        <v>307</v>
      </c>
      <c r="D27" s="22">
        <v>0</v>
      </c>
      <c r="E27" s="22">
        <v>0</v>
      </c>
      <c r="F27" s="22">
        <f>SUM(B27:E27)</f>
        <v>369</v>
      </c>
      <c r="G27" s="293"/>
      <c r="H27" s="293"/>
    </row>
    <row r="28" spans="1:8" s="351" customFormat="1" ht="15" x14ac:dyDescent="0.2">
      <c r="A28" s="289" t="s">
        <v>327</v>
      </c>
      <c r="B28" s="17">
        <v>0</v>
      </c>
      <c r="C28" s="17">
        <v>1</v>
      </c>
      <c r="D28" s="17">
        <v>0</v>
      </c>
      <c r="E28" s="17">
        <v>0</v>
      </c>
      <c r="F28" s="17">
        <f>SUM(B28:E28)</f>
        <v>1</v>
      </c>
      <c r="G28" s="293"/>
      <c r="H28" s="293"/>
    </row>
    <row r="29" spans="1:8" s="351" customFormat="1" ht="15" x14ac:dyDescent="0.2">
      <c r="A29" s="289" t="s">
        <v>124</v>
      </c>
      <c r="B29" s="17">
        <v>12</v>
      </c>
      <c r="C29" s="17">
        <v>6</v>
      </c>
      <c r="D29" s="17">
        <v>2</v>
      </c>
      <c r="E29" s="17">
        <v>0</v>
      </c>
      <c r="F29" s="17">
        <f>SUM(B29:E29)</f>
        <v>20</v>
      </c>
      <c r="G29" s="293"/>
      <c r="H29" s="293"/>
    </row>
    <row r="30" spans="1:8" s="351" customFormat="1" ht="15" x14ac:dyDescent="0.2">
      <c r="A30" s="289" t="s">
        <v>328</v>
      </c>
      <c r="B30" s="17">
        <v>7</v>
      </c>
      <c r="C30" s="17">
        <v>11</v>
      </c>
      <c r="D30" s="17">
        <v>0</v>
      </c>
      <c r="E30" s="17">
        <v>0</v>
      </c>
      <c r="F30" s="17">
        <f>SUM(B30:E30)</f>
        <v>18</v>
      </c>
      <c r="G30" s="293"/>
      <c r="H30" s="293"/>
    </row>
    <row r="31" spans="1:8" s="351" customFormat="1" ht="17.25" x14ac:dyDescent="0.35">
      <c r="A31" s="289" t="s">
        <v>146</v>
      </c>
      <c r="B31" s="85">
        <v>4</v>
      </c>
      <c r="C31" s="85">
        <v>15</v>
      </c>
      <c r="D31" s="85">
        <v>0</v>
      </c>
      <c r="E31" s="85">
        <v>3</v>
      </c>
      <c r="F31" s="85">
        <f>SUM(B31:E31)</f>
        <v>22</v>
      </c>
      <c r="G31" s="293"/>
      <c r="H31" s="293"/>
    </row>
    <row r="32" spans="1:8" s="351" customFormat="1" x14ac:dyDescent="0.25">
      <c r="A32" s="359" t="s">
        <v>16</v>
      </c>
      <c r="B32" s="87">
        <f t="shared" ref="B32:E32" si="2">SUM(B27:B31)</f>
        <v>85</v>
      </c>
      <c r="C32" s="87">
        <f t="shared" si="2"/>
        <v>340</v>
      </c>
      <c r="D32" s="87">
        <f t="shared" si="2"/>
        <v>2</v>
      </c>
      <c r="E32" s="87">
        <f t="shared" si="2"/>
        <v>3</v>
      </c>
      <c r="F32" s="87">
        <f>SUM(F27:F31)</f>
        <v>430</v>
      </c>
      <c r="G32" s="293"/>
      <c r="H32" s="293"/>
    </row>
    <row r="33" spans="1:8" s="351" customFormat="1" ht="15" x14ac:dyDescent="0.2">
      <c r="A33" s="17"/>
      <c r="B33" s="17"/>
      <c r="C33" s="17"/>
      <c r="D33" s="17"/>
      <c r="E33" s="17"/>
      <c r="F33" s="17"/>
      <c r="G33" s="293"/>
      <c r="H33" s="293"/>
    </row>
    <row r="34" spans="1:8" s="351" customFormat="1" ht="17.25" x14ac:dyDescent="0.35">
      <c r="A34" s="17" t="s">
        <v>147</v>
      </c>
      <c r="B34" s="85">
        <v>-2</v>
      </c>
      <c r="C34" s="85">
        <v>-3</v>
      </c>
      <c r="D34" s="85">
        <v>0</v>
      </c>
      <c r="E34" s="85">
        <v>0</v>
      </c>
      <c r="F34" s="85">
        <f>SUM(B34:D34)</f>
        <v>-5</v>
      </c>
      <c r="G34" s="293"/>
      <c r="H34" s="293"/>
    </row>
    <row r="35" spans="1:8" s="351" customFormat="1" ht="18" x14ac:dyDescent="0.4">
      <c r="A35" s="359" t="s">
        <v>186</v>
      </c>
      <c r="B35" s="346">
        <f>SUM(B32:B34)</f>
        <v>83</v>
      </c>
      <c r="C35" s="346">
        <f>SUM(C32:C34)</f>
        <v>337</v>
      </c>
      <c r="D35" s="346">
        <f>SUM(D32:D34)</f>
        <v>2</v>
      </c>
      <c r="E35" s="346">
        <f>SUM(E32:E34)</f>
        <v>3</v>
      </c>
      <c r="F35" s="346">
        <f>SUM(F32:F34)</f>
        <v>425</v>
      </c>
      <c r="G35" s="293"/>
      <c r="H35" s="293"/>
    </row>
    <row r="36" spans="1:8" s="290" customFormat="1" ht="15.75" customHeight="1" x14ac:dyDescent="0.2">
      <c r="A36" s="294"/>
      <c r="B36" s="294"/>
      <c r="C36" s="294"/>
      <c r="D36" s="294"/>
      <c r="E36" s="294"/>
      <c r="F36" s="295"/>
      <c r="G36" s="437"/>
      <c r="H36" s="293"/>
    </row>
    <row r="37" spans="1:8" s="290" customFormat="1" ht="15.75" customHeight="1" x14ac:dyDescent="0.2">
      <c r="A37" s="17"/>
      <c r="B37" s="17"/>
      <c r="C37" s="17"/>
      <c r="D37" s="17"/>
      <c r="E37" s="17"/>
      <c r="F37" s="293"/>
      <c r="G37" s="293"/>
      <c r="H37" s="293"/>
    </row>
    <row r="38" spans="1:8" s="290" customFormat="1" ht="15.75" customHeight="1" x14ac:dyDescent="0.25">
      <c r="A38" s="17"/>
      <c r="B38" s="146" t="s">
        <v>172</v>
      </c>
      <c r="C38" s="145"/>
      <c r="D38" s="296"/>
      <c r="E38" s="17"/>
      <c r="F38" s="293"/>
      <c r="G38" s="293"/>
      <c r="H38" s="293"/>
    </row>
    <row r="39" spans="1:8" s="290" customFormat="1" x14ac:dyDescent="0.25">
      <c r="A39" s="17"/>
      <c r="B39" s="362"/>
      <c r="C39" s="348"/>
      <c r="D39" s="349" t="s">
        <v>11</v>
      </c>
      <c r="E39" s="17"/>
      <c r="F39" s="293"/>
      <c r="G39" s="293"/>
      <c r="H39" s="293"/>
    </row>
    <row r="40" spans="1:8" s="290" customFormat="1" ht="20.25" x14ac:dyDescent="0.55000000000000004">
      <c r="A40" s="17"/>
      <c r="B40" s="350" t="s">
        <v>12</v>
      </c>
      <c r="C40" s="350" t="s">
        <v>22</v>
      </c>
      <c r="D40" s="350" t="s">
        <v>13</v>
      </c>
      <c r="E40" s="17"/>
      <c r="F40" s="293"/>
      <c r="G40" s="293"/>
      <c r="H40" s="293"/>
    </row>
    <row r="41" spans="1:8" s="290" customFormat="1" ht="15.75" customHeight="1" x14ac:dyDescent="0.2">
      <c r="A41" s="17"/>
      <c r="B41" s="17"/>
      <c r="C41" s="17"/>
      <c r="D41" s="17"/>
      <c r="E41" s="17"/>
      <c r="F41" s="293"/>
      <c r="G41" s="293"/>
      <c r="H41" s="293"/>
    </row>
    <row r="42" spans="1:8" s="290" customFormat="1" ht="15.75" customHeight="1" x14ac:dyDescent="0.2">
      <c r="A42" s="17" t="s">
        <v>285</v>
      </c>
      <c r="B42" s="46">
        <v>585</v>
      </c>
      <c r="C42" s="46">
        <v>576</v>
      </c>
      <c r="D42" s="46">
        <f t="shared" ref="D42:D44" si="3">+C42-B42</f>
        <v>-9</v>
      </c>
      <c r="E42" s="17"/>
      <c r="F42" s="293"/>
      <c r="G42" s="293"/>
      <c r="H42" s="293"/>
    </row>
    <row r="43" spans="1:8" s="290" customFormat="1" ht="15.75" customHeight="1" x14ac:dyDescent="0.2">
      <c r="A43" s="17" t="s">
        <v>151</v>
      </c>
      <c r="B43" s="18">
        <v>1132</v>
      </c>
      <c r="C43" s="18">
        <v>1209</v>
      </c>
      <c r="D43" s="18">
        <f t="shared" si="3"/>
        <v>77</v>
      </c>
      <c r="E43" s="17"/>
      <c r="F43" s="293"/>
      <c r="G43" s="293"/>
      <c r="H43" s="293"/>
    </row>
    <row r="44" spans="1:8" s="290" customFormat="1" ht="15.75" customHeight="1" x14ac:dyDescent="0.35">
      <c r="A44" s="17" t="s">
        <v>5</v>
      </c>
      <c r="B44" s="88">
        <v>46</v>
      </c>
      <c r="C44" s="88">
        <v>46</v>
      </c>
      <c r="D44" s="294">
        <f t="shared" si="3"/>
        <v>0</v>
      </c>
      <c r="E44" s="17"/>
      <c r="F44" s="293"/>
      <c r="G44" s="293"/>
      <c r="H44" s="293"/>
    </row>
    <row r="45" spans="1:8" s="290" customFormat="1" ht="18" x14ac:dyDescent="0.4">
      <c r="A45" s="388" t="s">
        <v>188</v>
      </c>
      <c r="B45" s="346">
        <f>SUM(B42:B44)</f>
        <v>1763</v>
      </c>
      <c r="C45" s="346">
        <f>SUM(C42:C44)</f>
        <v>1831</v>
      </c>
      <c r="D45" s="346">
        <f>SUM(D42:D44)</f>
        <v>68</v>
      </c>
      <c r="E45" s="17"/>
      <c r="F45" s="293"/>
      <c r="G45" s="293"/>
      <c r="H45" s="293"/>
    </row>
    <row r="46" spans="1:8" s="290" customFormat="1" ht="15.75" customHeight="1" x14ac:dyDescent="0.2">
      <c r="A46" s="17"/>
      <c r="B46" s="17"/>
      <c r="C46" s="17"/>
      <c r="D46" s="17"/>
      <c r="E46" s="17"/>
      <c r="F46" s="293"/>
      <c r="G46" s="293"/>
      <c r="H46" s="293"/>
    </row>
    <row r="47" spans="1:8" s="290" customFormat="1" ht="15.75" customHeight="1" x14ac:dyDescent="0.2">
      <c r="A47" s="17"/>
      <c r="B47" s="17"/>
      <c r="C47" s="17"/>
      <c r="D47" s="17"/>
      <c r="E47" s="17"/>
      <c r="F47" s="293"/>
      <c r="G47" s="293"/>
      <c r="H47" s="293"/>
    </row>
    <row r="48" spans="1:8" s="290" customFormat="1" ht="15.75" customHeight="1" x14ac:dyDescent="0.2">
      <c r="A48" s="17"/>
      <c r="B48" s="17"/>
      <c r="C48" s="17"/>
      <c r="D48" s="17"/>
      <c r="E48" s="17"/>
      <c r="F48" s="293"/>
      <c r="G48" s="293"/>
      <c r="H48" s="293"/>
    </row>
  </sheetData>
  <sheetProtection password="CBFD" sheet="1" objects="1" scenarios="1"/>
  <phoneticPr fontId="0" type="noConversion"/>
  <pageMargins left="0.7" right="0.7" top="0.75" bottom="0.25" header="0.3" footer="0.05"/>
  <pageSetup scale="75" orientation="landscape" r:id="rId1"/>
  <headerFooter>
    <oddHeader>&amp;R&amp;G</oddHeader>
    <oddFooter>&amp;C21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G42"/>
  <sheetViews>
    <sheetView zoomScale="85" zoomScaleNormal="85" workbookViewId="0"/>
  </sheetViews>
  <sheetFormatPr defaultRowHeight="15.75" customHeight="1" x14ac:dyDescent="0.2"/>
  <cols>
    <col min="1" max="1" width="45.77734375" style="8" customWidth="1"/>
    <col min="2" max="6" width="12.77734375" style="8" customWidth="1"/>
    <col min="7" max="9" width="7" style="8" customWidth="1"/>
    <col min="10" max="16384" width="8.88671875" style="8"/>
  </cols>
  <sheetData>
    <row r="1" spans="1:7" ht="18" x14ac:dyDescent="0.25">
      <c r="A1" s="131" t="str">
        <f>'Cover Page'!$H$10</f>
        <v>American Financial Group, Inc.</v>
      </c>
    </row>
    <row r="2" spans="1:7" ht="18" x14ac:dyDescent="0.25">
      <c r="A2" s="131" t="s">
        <v>187</v>
      </c>
      <c r="B2" s="7"/>
      <c r="C2" s="7"/>
      <c r="E2" s="9"/>
      <c r="F2" s="9"/>
    </row>
    <row r="3" spans="1:7" ht="18" x14ac:dyDescent="0.25">
      <c r="A3" s="390" t="s">
        <v>398</v>
      </c>
      <c r="B3" s="7"/>
      <c r="C3" s="7"/>
      <c r="E3" s="9"/>
      <c r="F3" s="9"/>
    </row>
    <row r="4" spans="1:7" x14ac:dyDescent="0.25">
      <c r="A4" s="153" t="s">
        <v>61</v>
      </c>
      <c r="B4" s="100"/>
      <c r="C4" s="100"/>
      <c r="D4" s="47"/>
      <c r="E4" s="101"/>
      <c r="F4" s="101"/>
    </row>
    <row r="5" spans="1:7" x14ac:dyDescent="0.25">
      <c r="A5" s="47"/>
      <c r="B5" s="47"/>
      <c r="C5" s="47"/>
      <c r="D5" s="47"/>
      <c r="E5" s="47"/>
      <c r="F5" s="97" t="s">
        <v>17</v>
      </c>
    </row>
    <row r="6" spans="1:7" x14ac:dyDescent="0.25">
      <c r="A6" s="47"/>
      <c r="B6" s="97" t="s">
        <v>21</v>
      </c>
      <c r="C6" s="93"/>
      <c r="D6" s="97" t="s">
        <v>11</v>
      </c>
      <c r="E6" s="97" t="s">
        <v>17</v>
      </c>
      <c r="F6" s="97" t="s">
        <v>170</v>
      </c>
    </row>
    <row r="7" spans="1:7" ht="20.25" x14ac:dyDescent="0.55000000000000004">
      <c r="A7" s="93"/>
      <c r="B7" s="98" t="s">
        <v>12</v>
      </c>
      <c r="C7" s="98" t="s">
        <v>22</v>
      </c>
      <c r="D7" s="98" t="s">
        <v>13</v>
      </c>
      <c r="E7" s="98" t="s">
        <v>22</v>
      </c>
      <c r="F7" s="98" t="s">
        <v>15</v>
      </c>
    </row>
    <row r="8" spans="1:7" ht="15.75" customHeight="1" x14ac:dyDescent="0.2">
      <c r="A8" s="47" t="s">
        <v>23</v>
      </c>
      <c r="B8" s="301">
        <v>345</v>
      </c>
      <c r="C8" s="301">
        <v>351</v>
      </c>
      <c r="D8" s="301">
        <f t="shared" ref="D8:D13" si="0">+C8-B8</f>
        <v>6</v>
      </c>
      <c r="E8" s="302">
        <f t="shared" ref="E8:E11" si="1">ROUND(C8/$C$20,2)</f>
        <v>0.01</v>
      </c>
      <c r="F8" s="302">
        <f>ROUND(C8/'Pg 21 Inv_Schedule'!$F$17,2)</f>
        <v>0.01</v>
      </c>
    </row>
    <row r="9" spans="1:7" ht="15.75" customHeight="1" x14ac:dyDescent="0.2">
      <c r="A9" s="47" t="s">
        <v>24</v>
      </c>
      <c r="B9" s="47">
        <v>6904</v>
      </c>
      <c r="C9" s="47">
        <v>7196</v>
      </c>
      <c r="D9" s="47">
        <f t="shared" si="0"/>
        <v>292</v>
      </c>
      <c r="E9" s="302">
        <f t="shared" si="1"/>
        <v>0.22</v>
      </c>
      <c r="F9" s="302">
        <f>ROUND(C9/'Pg 21 Inv_Schedule'!$F$17,2)</f>
        <v>0.19</v>
      </c>
    </row>
    <row r="10" spans="1:7" ht="15.75" customHeight="1" x14ac:dyDescent="0.2">
      <c r="A10" s="47" t="s">
        <v>25</v>
      </c>
      <c r="B10" s="47">
        <v>246</v>
      </c>
      <c r="C10" s="47">
        <v>255</v>
      </c>
      <c r="D10" s="47">
        <f t="shared" si="0"/>
        <v>9</v>
      </c>
      <c r="E10" s="302">
        <f t="shared" si="1"/>
        <v>0.01</v>
      </c>
      <c r="F10" s="302">
        <f>ROUND(C10/'Pg 21 Inv_Schedule'!$F$17,2)</f>
        <v>0.01</v>
      </c>
    </row>
    <row r="11" spans="1:7" ht="15.75" customHeight="1" x14ac:dyDescent="0.35">
      <c r="A11" s="47" t="s">
        <v>168</v>
      </c>
      <c r="B11" s="47">
        <v>3546</v>
      </c>
      <c r="C11" s="47">
        <v>3885</v>
      </c>
      <c r="D11" s="47">
        <f t="shared" si="0"/>
        <v>339</v>
      </c>
      <c r="E11" s="302">
        <f t="shared" si="1"/>
        <v>0.12</v>
      </c>
      <c r="F11" s="302">
        <f>ROUND(C11/'Pg 21 Inv_Schedule'!$F$17,2)</f>
        <v>0.1</v>
      </c>
      <c r="G11" s="353"/>
    </row>
    <row r="12" spans="1:7" ht="15.75" customHeight="1" x14ac:dyDescent="0.4">
      <c r="A12" s="47" t="s">
        <v>169</v>
      </c>
      <c r="B12" s="47">
        <v>2185</v>
      </c>
      <c r="C12" s="47">
        <v>2297</v>
      </c>
      <c r="D12" s="47">
        <f t="shared" si="0"/>
        <v>112</v>
      </c>
      <c r="E12" s="302">
        <f>ROUND(C12/$C$20,2)</f>
        <v>7.0000000000000007E-2</v>
      </c>
      <c r="F12" s="302">
        <f>ROUND(C12/'Pg 21 Inv_Schedule'!$F$17,2)</f>
        <v>0.06</v>
      </c>
      <c r="G12" s="352"/>
    </row>
    <row r="13" spans="1:7" ht="15.75" customHeight="1" x14ac:dyDescent="0.4">
      <c r="A13" s="47" t="s">
        <v>145</v>
      </c>
      <c r="B13" s="47">
        <v>4674</v>
      </c>
      <c r="C13" s="47">
        <v>4702</v>
      </c>
      <c r="D13" s="47">
        <f t="shared" si="0"/>
        <v>28</v>
      </c>
      <c r="E13" s="302">
        <f>ROUND(C13/$C$20,2)</f>
        <v>0.14000000000000001</v>
      </c>
      <c r="F13" s="302">
        <f>ROUND(C13/'Pg 21 Inv_Schedule'!$F$17,2)</f>
        <v>0.12</v>
      </c>
      <c r="G13" s="352"/>
    </row>
    <row r="14" spans="1:7" ht="15.75" customHeight="1" x14ac:dyDescent="0.2">
      <c r="A14" s="47" t="s">
        <v>26</v>
      </c>
      <c r="B14" s="47"/>
      <c r="C14" s="47"/>
      <c r="D14" s="47"/>
      <c r="E14" s="302"/>
      <c r="F14" s="302"/>
      <c r="G14" s="299"/>
    </row>
    <row r="15" spans="1:7" ht="15.75" customHeight="1" x14ac:dyDescent="0.2">
      <c r="A15" s="47" t="s">
        <v>27</v>
      </c>
      <c r="B15" s="47">
        <v>2608</v>
      </c>
      <c r="C15" s="47">
        <v>2690</v>
      </c>
      <c r="D15" s="47">
        <f t="shared" ref="D15:D19" si="2">+C15-B15</f>
        <v>82</v>
      </c>
      <c r="E15" s="302">
        <f>ROUND(C15/$C$20,2)</f>
        <v>0.08</v>
      </c>
      <c r="F15" s="302">
        <f>ROUND(C15/'Pg 21 Inv_Schedule'!$F$17,2)</f>
        <v>7.0000000000000007E-2</v>
      </c>
    </row>
    <row r="16" spans="1:7" ht="15.75" customHeight="1" x14ac:dyDescent="0.2">
      <c r="A16" s="47" t="s">
        <v>28</v>
      </c>
      <c r="B16" s="47">
        <v>3348</v>
      </c>
      <c r="C16" s="47">
        <v>3449</v>
      </c>
      <c r="D16" s="47">
        <f t="shared" si="2"/>
        <v>101</v>
      </c>
      <c r="E16" s="302">
        <f>ROUND(C16/$C$20,2)</f>
        <v>0.1</v>
      </c>
      <c r="F16" s="302">
        <f>ROUND(C16/'Pg 21 Inv_Schedule'!$F$17,2)</f>
        <v>0.09</v>
      </c>
    </row>
    <row r="17" spans="1:6" ht="15.75" customHeight="1" x14ac:dyDescent="0.2">
      <c r="A17" s="47" t="s">
        <v>29</v>
      </c>
      <c r="B17" s="47">
        <v>1386</v>
      </c>
      <c r="C17" s="47">
        <v>1468</v>
      </c>
      <c r="D17" s="47">
        <f t="shared" si="2"/>
        <v>82</v>
      </c>
      <c r="E17" s="302">
        <f>ROUND(C17/$C$20,2)</f>
        <v>0.04</v>
      </c>
      <c r="F17" s="302">
        <f>ROUND(C17/'Pg 21 Inv_Schedule'!$F$17,2)</f>
        <v>0.04</v>
      </c>
    </row>
    <row r="18" spans="1:6" ht="15.75" customHeight="1" x14ac:dyDescent="0.2">
      <c r="A18" s="47" t="s">
        <v>30</v>
      </c>
      <c r="B18" s="47">
        <v>1023</v>
      </c>
      <c r="C18" s="47">
        <v>1077</v>
      </c>
      <c r="D18" s="47">
        <f t="shared" si="2"/>
        <v>54</v>
      </c>
      <c r="E18" s="302">
        <f>ROUND(C18/$C$20,2)</f>
        <v>0.03</v>
      </c>
      <c r="F18" s="302">
        <f>ROUND(C18/'Pg 21 Inv_Schedule'!$F$17,2)</f>
        <v>0.03</v>
      </c>
    </row>
    <row r="19" spans="1:6" ht="15.75" customHeight="1" x14ac:dyDescent="0.35">
      <c r="A19" s="47" t="s">
        <v>239</v>
      </c>
      <c r="B19" s="99">
        <v>5872</v>
      </c>
      <c r="C19" s="99">
        <v>6013</v>
      </c>
      <c r="D19" s="99">
        <f t="shared" si="2"/>
        <v>141</v>
      </c>
      <c r="E19" s="364" t="str">
        <f>TEXT(+ROUND(C19/$C$20,3),"0%")</f>
        <v>18%</v>
      </c>
      <c r="F19" s="364" t="str">
        <f>TEXT(+ROUND(C19/'Pg 21 Inv_Schedule'!$F$17,2),"0%")</f>
        <v>16%</v>
      </c>
    </row>
    <row r="20" spans="1:6" s="304" customFormat="1" ht="15.75" customHeight="1" x14ac:dyDescent="0.4">
      <c r="A20" s="93" t="s">
        <v>188</v>
      </c>
      <c r="B20" s="303">
        <f>SUM(B8:B19)</f>
        <v>32137</v>
      </c>
      <c r="C20" s="303">
        <f>SUM(C8:C19)</f>
        <v>33383</v>
      </c>
      <c r="D20" s="303">
        <f>SUM(D8:D19)</f>
        <v>1246</v>
      </c>
      <c r="E20" s="376" t="str">
        <f>TEXT(SUM(SUM(E8:E18)+ROUND(C19/C20,3)),"0%")</f>
        <v>100%</v>
      </c>
      <c r="F20" s="376" t="str">
        <f>TEXT(SUM(SUM(F8:F18)+ROUND(C19/'Pg 21 Inv_Schedule'!$F$17,2)),"0%")</f>
        <v>88%</v>
      </c>
    </row>
    <row r="21" spans="1:6" s="304" customFormat="1" ht="15.75" customHeight="1" x14ac:dyDescent="0.4">
      <c r="A21" s="93"/>
      <c r="B21" s="303"/>
      <c r="C21" s="303"/>
      <c r="D21" s="303"/>
      <c r="E21" s="352"/>
      <c r="F21" s="352"/>
    </row>
    <row r="22" spans="1:6" s="304" customFormat="1" ht="15.75" customHeight="1" x14ac:dyDescent="0.2">
      <c r="A22" s="47" t="s">
        <v>285</v>
      </c>
      <c r="B22" s="365">
        <v>25500</v>
      </c>
      <c r="C22" s="365">
        <v>26574</v>
      </c>
      <c r="D22" s="47">
        <f>+C22-B22</f>
        <v>1074</v>
      </c>
      <c r="E22" s="302">
        <f>ROUND(C22/$C$25,2)</f>
        <v>0.8</v>
      </c>
      <c r="F22" s="302">
        <f>ROUND(C22/'Pg 21 Inv_Schedule'!$F$17,2)</f>
        <v>0.7</v>
      </c>
    </row>
    <row r="23" spans="1:6" s="366" customFormat="1" ht="15.75" customHeight="1" x14ac:dyDescent="0.2">
      <c r="A23" s="96" t="s">
        <v>151</v>
      </c>
      <c r="B23" s="368">
        <v>6634</v>
      </c>
      <c r="C23" s="368">
        <v>6795</v>
      </c>
      <c r="D23" s="96">
        <f>+C23-B23</f>
        <v>161</v>
      </c>
      <c r="E23" s="302">
        <f>ROUND(C23/$C$25,2)</f>
        <v>0.2</v>
      </c>
      <c r="F23" s="302">
        <f>ROUND(C23/'Pg 21 Inv_Schedule'!$F$17,2)</f>
        <v>0.18</v>
      </c>
    </row>
    <row r="24" spans="1:6" s="304" customFormat="1" ht="15.75" customHeight="1" x14ac:dyDescent="0.35">
      <c r="A24" s="47" t="s">
        <v>5</v>
      </c>
      <c r="B24" s="367">
        <v>3</v>
      </c>
      <c r="C24" s="367">
        <v>14</v>
      </c>
      <c r="D24" s="99">
        <f>+C24-B24</f>
        <v>11</v>
      </c>
      <c r="E24" s="364" t="str">
        <f>TEXT(+ROUND(C24/$C$25,3),"0%")</f>
        <v>0%</v>
      </c>
      <c r="F24" s="364" t="s">
        <v>171</v>
      </c>
    </row>
    <row r="25" spans="1:6" s="304" customFormat="1" ht="15.75" customHeight="1" x14ac:dyDescent="0.4">
      <c r="A25" s="93" t="s">
        <v>188</v>
      </c>
      <c r="B25" s="303">
        <f>B20</f>
        <v>32137</v>
      </c>
      <c r="C25" s="303">
        <f>C20</f>
        <v>33383</v>
      </c>
      <c r="D25" s="303">
        <f>D20</f>
        <v>1246</v>
      </c>
      <c r="E25" s="376" t="str">
        <f>TEXT(SUM(SUM(E22:E23)+ROUND(C24/C25,3)),"0%")</f>
        <v>100%</v>
      </c>
      <c r="F25" s="376" t="str">
        <f>TEXT(SUM(SUM(F22:F23)+ROUND(C24/'Pg 21 Inv_Schedule'!$F$17,2)),"0%")</f>
        <v>88%</v>
      </c>
    </row>
    <row r="26" spans="1:6" s="304" customFormat="1" ht="15.75" customHeight="1" x14ac:dyDescent="0.4">
      <c r="A26" s="93"/>
      <c r="B26" s="303"/>
      <c r="C26" s="303"/>
      <c r="D26" s="303"/>
      <c r="E26" s="352"/>
      <c r="F26" s="352"/>
    </row>
    <row r="27" spans="1:6" s="304" customFormat="1" ht="15.75" customHeight="1" x14ac:dyDescent="0.4">
      <c r="A27" s="93"/>
      <c r="B27" s="303"/>
      <c r="C27" s="303"/>
      <c r="D27" s="303"/>
      <c r="E27" s="352"/>
      <c r="F27" s="352"/>
    </row>
    <row r="28" spans="1:6" s="304" customFormat="1" ht="15.75" customHeight="1" x14ac:dyDescent="0.4">
      <c r="A28" s="93" t="s">
        <v>331</v>
      </c>
      <c r="B28" s="303"/>
      <c r="C28" s="303"/>
      <c r="D28" s="303"/>
      <c r="E28" s="352"/>
      <c r="F28" s="352"/>
    </row>
    <row r="29" spans="1:6" ht="15.75" customHeight="1" x14ac:dyDescent="0.4">
      <c r="A29" s="392" t="s">
        <v>192</v>
      </c>
      <c r="B29" s="467">
        <v>4.7099014031395707E-2</v>
      </c>
      <c r="C29" s="303"/>
      <c r="D29" s="303"/>
      <c r="E29" s="352"/>
      <c r="F29" s="352"/>
    </row>
    <row r="30" spans="1:6" ht="15.75" customHeight="1" x14ac:dyDescent="0.25">
      <c r="A30" s="392" t="s">
        <v>193</v>
      </c>
      <c r="B30" s="467">
        <v>4.6518419691042187E-2</v>
      </c>
      <c r="C30" s="391"/>
      <c r="D30" s="391"/>
      <c r="E30" s="391"/>
      <c r="F30" s="391"/>
    </row>
    <row r="31" spans="1:6" ht="15.75" customHeight="1" x14ac:dyDescent="0.25">
      <c r="A31" s="93"/>
      <c r="B31" s="391"/>
      <c r="C31" s="391"/>
      <c r="D31" s="391"/>
      <c r="E31" s="391"/>
      <c r="F31" s="391"/>
    </row>
    <row r="32" spans="1:6" ht="15.75" customHeight="1" x14ac:dyDescent="0.25">
      <c r="A32" s="93" t="s">
        <v>194</v>
      </c>
      <c r="E32" s="363"/>
      <c r="F32" s="363"/>
    </row>
    <row r="33" spans="1:6" ht="15.75" customHeight="1" x14ac:dyDescent="0.2">
      <c r="A33" s="392" t="s">
        <v>244</v>
      </c>
      <c r="B33" s="492" t="s">
        <v>319</v>
      </c>
      <c r="E33" s="363"/>
      <c r="F33" s="363"/>
    </row>
    <row r="34" spans="1:6" ht="15.75" customHeight="1" x14ac:dyDescent="0.2">
      <c r="A34" s="392" t="s">
        <v>195</v>
      </c>
      <c r="B34" s="492" t="s">
        <v>245</v>
      </c>
      <c r="E34" s="363"/>
      <c r="F34" s="363"/>
    </row>
    <row r="35" spans="1:6" ht="15.75" customHeight="1" x14ac:dyDescent="0.2">
      <c r="E35" s="300"/>
      <c r="F35" s="300"/>
    </row>
    <row r="37" spans="1:6" ht="15.75" customHeight="1" x14ac:dyDescent="0.2">
      <c r="A37" s="47" t="s">
        <v>313</v>
      </c>
    </row>
    <row r="38" spans="1:6" ht="15.75" customHeight="1" x14ac:dyDescent="0.2">
      <c r="A38" s="47" t="s">
        <v>316</v>
      </c>
    </row>
    <row r="39" spans="1:6" ht="15" customHeight="1" x14ac:dyDescent="0.2"/>
    <row r="40" spans="1:6" ht="15" customHeight="1" x14ac:dyDescent="0.2"/>
    <row r="41" spans="1:6" ht="15" customHeight="1" x14ac:dyDescent="0.2"/>
    <row r="42" spans="1:6" ht="15" customHeight="1" x14ac:dyDescent="0.2"/>
  </sheetData>
  <sheetProtection password="CBFD" sheet="1" objects="1" scenarios="1"/>
  <pageMargins left="0.7" right="0.7" top="0.75" bottom="0.5" header="0.3" footer="0.05"/>
  <pageSetup scale="75" orientation="landscape" r:id="rId1"/>
  <headerFooter>
    <oddHeader>&amp;R&amp;G</oddHeader>
    <oddFooter>&amp;C22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8"/>
  <sheetViews>
    <sheetView zoomScale="85" zoomScaleNormal="85" workbookViewId="0"/>
  </sheetViews>
  <sheetFormatPr defaultRowHeight="15.75" customHeight="1" x14ac:dyDescent="0.2"/>
  <cols>
    <col min="1" max="1" width="45.77734375" style="8" customWidth="1"/>
    <col min="2" max="3" width="12.77734375" style="8" customWidth="1"/>
    <col min="4" max="4" width="12.88671875" style="8" customWidth="1"/>
    <col min="5" max="5" width="12.77734375" style="8" customWidth="1"/>
    <col min="6" max="6" width="8.33203125" style="8" customWidth="1"/>
    <col min="7" max="9" width="7" style="8" customWidth="1"/>
    <col min="10" max="16384" width="8.88671875" style="8"/>
  </cols>
  <sheetData>
    <row r="1" spans="1:6" ht="18" x14ac:dyDescent="0.25">
      <c r="A1" s="131" t="str">
        <f>'Cover Page'!$H$10</f>
        <v>American Financial Group, Inc.</v>
      </c>
    </row>
    <row r="2" spans="1:6" ht="18" x14ac:dyDescent="0.25">
      <c r="A2" s="131" t="s">
        <v>242</v>
      </c>
      <c r="B2" s="7"/>
      <c r="C2" s="7"/>
      <c r="E2" s="9"/>
      <c r="F2" s="9"/>
    </row>
    <row r="3" spans="1:6" ht="18" x14ac:dyDescent="0.25">
      <c r="A3" s="390" t="s">
        <v>398</v>
      </c>
      <c r="B3" s="7"/>
      <c r="C3" s="7"/>
      <c r="E3" s="9"/>
      <c r="F3" s="9"/>
    </row>
    <row r="4" spans="1:6" x14ac:dyDescent="0.25">
      <c r="A4" s="153" t="s">
        <v>61</v>
      </c>
      <c r="B4" s="100"/>
      <c r="C4" s="100"/>
      <c r="D4" s="47"/>
      <c r="E4" s="101"/>
      <c r="F4" s="9"/>
    </row>
    <row r="5" spans="1:6" ht="11.25" customHeight="1" x14ac:dyDescent="0.25">
      <c r="A5" s="7"/>
      <c r="B5" s="102"/>
      <c r="C5" s="102"/>
      <c r="D5" s="47"/>
      <c r="E5" s="103"/>
      <c r="F5" s="10"/>
    </row>
    <row r="6" spans="1:6" x14ac:dyDescent="0.25">
      <c r="B6" s="97" t="s">
        <v>21</v>
      </c>
      <c r="C6" s="93"/>
      <c r="D6" s="97" t="s">
        <v>11</v>
      </c>
      <c r="E6" s="97" t="s">
        <v>190</v>
      </c>
      <c r="F6" s="11"/>
    </row>
    <row r="7" spans="1:6" ht="20.25" x14ac:dyDescent="0.55000000000000004">
      <c r="A7" s="93" t="s">
        <v>286</v>
      </c>
      <c r="B7" s="98" t="s">
        <v>12</v>
      </c>
      <c r="C7" s="98" t="s">
        <v>22</v>
      </c>
      <c r="D7" s="98" t="s">
        <v>13</v>
      </c>
      <c r="E7" s="98" t="s">
        <v>22</v>
      </c>
      <c r="F7" s="12"/>
    </row>
    <row r="8" spans="1:6" ht="15" x14ac:dyDescent="0.2">
      <c r="A8" s="47" t="s">
        <v>23</v>
      </c>
      <c r="B8" s="301">
        <v>82</v>
      </c>
      <c r="C8" s="301">
        <v>83</v>
      </c>
      <c r="D8" s="301">
        <f t="shared" ref="D8:D14" si="0">+C8-B8</f>
        <v>1</v>
      </c>
      <c r="E8" s="302">
        <f t="shared" ref="E8:E14" si="1">ROUND(C8/$C$15,2)</f>
        <v>0</v>
      </c>
    </row>
    <row r="9" spans="1:6" ht="15" x14ac:dyDescent="0.2">
      <c r="A9" s="47" t="s">
        <v>24</v>
      </c>
      <c r="B9" s="47">
        <v>4161</v>
      </c>
      <c r="C9" s="47">
        <v>4370</v>
      </c>
      <c r="D9" s="47">
        <f t="shared" si="0"/>
        <v>209</v>
      </c>
      <c r="E9" s="302">
        <f t="shared" si="1"/>
        <v>0.16</v>
      </c>
    </row>
    <row r="10" spans="1:6" ht="15" x14ac:dyDescent="0.2">
      <c r="A10" s="47" t="s">
        <v>25</v>
      </c>
      <c r="B10" s="47">
        <v>17</v>
      </c>
      <c r="C10" s="47">
        <v>20</v>
      </c>
      <c r="D10" s="47">
        <f t="shared" si="0"/>
        <v>3</v>
      </c>
      <c r="E10" s="302">
        <f t="shared" si="1"/>
        <v>0</v>
      </c>
    </row>
    <row r="11" spans="1:6" ht="15" x14ac:dyDescent="0.2">
      <c r="A11" s="47" t="s">
        <v>168</v>
      </c>
      <c r="B11" s="47">
        <v>2640</v>
      </c>
      <c r="C11" s="47">
        <v>2920</v>
      </c>
      <c r="D11" s="47">
        <f t="shared" si="0"/>
        <v>280</v>
      </c>
      <c r="E11" s="302">
        <f t="shared" si="1"/>
        <v>0.11</v>
      </c>
    </row>
    <row r="12" spans="1:6" ht="15" x14ac:dyDescent="0.2">
      <c r="A12" s="47" t="s">
        <v>169</v>
      </c>
      <c r="B12" s="47">
        <v>1971</v>
      </c>
      <c r="C12" s="47">
        <v>2077</v>
      </c>
      <c r="D12" s="47">
        <f t="shared" si="0"/>
        <v>106</v>
      </c>
      <c r="E12" s="302">
        <f>ROUND(C12/$C$15,2)</f>
        <v>0.08</v>
      </c>
    </row>
    <row r="13" spans="1:6" ht="15" x14ac:dyDescent="0.2">
      <c r="A13" s="47" t="s">
        <v>145</v>
      </c>
      <c r="B13" s="47">
        <v>3326</v>
      </c>
      <c r="C13" s="47">
        <v>3351</v>
      </c>
      <c r="D13" s="47">
        <f t="shared" si="0"/>
        <v>25</v>
      </c>
      <c r="E13" s="302">
        <f t="shared" si="1"/>
        <v>0.13</v>
      </c>
    </row>
    <row r="14" spans="1:6" ht="17.25" x14ac:dyDescent="0.35">
      <c r="A14" s="47" t="s">
        <v>196</v>
      </c>
      <c r="B14" s="99">
        <v>13303</v>
      </c>
      <c r="C14" s="99">
        <v>13753</v>
      </c>
      <c r="D14" s="48">
        <f t="shared" si="0"/>
        <v>450</v>
      </c>
      <c r="E14" s="484">
        <f t="shared" si="1"/>
        <v>0.52</v>
      </c>
    </row>
    <row r="15" spans="1:6" s="304" customFormat="1" ht="18" x14ac:dyDescent="0.4">
      <c r="A15" s="93" t="s">
        <v>288</v>
      </c>
      <c r="B15" s="303">
        <f>SUM(B8:B14)</f>
        <v>25500</v>
      </c>
      <c r="C15" s="303">
        <f>SUM(C8:C14)</f>
        <v>26574</v>
      </c>
      <c r="D15" s="303">
        <f>SUM(D8:D14)</f>
        <v>1074</v>
      </c>
      <c r="E15" s="376" t="str">
        <f>TEXT(SUM(SUM(E8:E13)+ROUND(C14/$C$15,2)),"0%")</f>
        <v>100%</v>
      </c>
    </row>
    <row r="16" spans="1:6" ht="15" x14ac:dyDescent="0.2">
      <c r="A16" s="47"/>
      <c r="B16" s="96"/>
      <c r="C16" s="96"/>
      <c r="D16" s="96"/>
      <c r="E16" s="299"/>
    </row>
    <row r="17" spans="1:6" x14ac:dyDescent="0.25">
      <c r="A17" s="93" t="s">
        <v>331</v>
      </c>
      <c r="B17" s="96"/>
      <c r="C17" s="96"/>
      <c r="D17" s="96"/>
      <c r="E17" s="299"/>
    </row>
    <row r="18" spans="1:6" ht="15" x14ac:dyDescent="0.2">
      <c r="A18" s="392" t="s">
        <v>192</v>
      </c>
      <c r="B18" s="467">
        <v>4.9278541800496706E-2</v>
      </c>
      <c r="C18" s="96"/>
      <c r="D18" s="96"/>
      <c r="E18" s="299"/>
    </row>
    <row r="19" spans="1:6" ht="15" x14ac:dyDescent="0.2">
      <c r="A19" s="392" t="s">
        <v>193</v>
      </c>
      <c r="B19" s="467">
        <v>4.8848856054894439E-2</v>
      </c>
      <c r="C19" s="96"/>
      <c r="D19" s="96"/>
      <c r="E19" s="299"/>
    </row>
    <row r="20" spans="1:6" ht="8.25" customHeight="1" x14ac:dyDescent="0.2">
      <c r="A20" s="392"/>
      <c r="B20" s="413"/>
      <c r="C20" s="96"/>
      <c r="D20" s="96"/>
      <c r="E20" s="299"/>
    </row>
    <row r="21" spans="1:6" x14ac:dyDescent="0.25">
      <c r="A21" s="93" t="s">
        <v>194</v>
      </c>
      <c r="C21" s="96"/>
      <c r="D21" s="96"/>
      <c r="E21" s="299"/>
    </row>
    <row r="22" spans="1:6" ht="15" x14ac:dyDescent="0.2">
      <c r="A22" s="392" t="s">
        <v>244</v>
      </c>
      <c r="B22" s="492" t="s">
        <v>320</v>
      </c>
      <c r="C22" s="96"/>
      <c r="D22" s="96"/>
      <c r="E22" s="299"/>
    </row>
    <row r="23" spans="1:6" ht="15" x14ac:dyDescent="0.2">
      <c r="A23" s="392" t="s">
        <v>195</v>
      </c>
      <c r="B23" s="492" t="s">
        <v>245</v>
      </c>
      <c r="C23" s="96"/>
      <c r="D23" s="96"/>
      <c r="E23" s="299"/>
    </row>
    <row r="24" spans="1:6" ht="15" x14ac:dyDescent="0.2">
      <c r="A24" s="406"/>
      <c r="B24" s="406"/>
      <c r="C24" s="406"/>
      <c r="D24" s="406"/>
      <c r="E24" s="407"/>
    </row>
    <row r="25" spans="1:6" ht="15" x14ac:dyDescent="0.2">
      <c r="A25" s="47"/>
      <c r="B25" s="96"/>
      <c r="C25" s="96"/>
      <c r="D25" s="96"/>
      <c r="E25" s="299"/>
    </row>
    <row r="26" spans="1:6" x14ac:dyDescent="0.25">
      <c r="A26" s="47"/>
      <c r="B26" s="97" t="s">
        <v>21</v>
      </c>
      <c r="C26" s="93"/>
      <c r="D26" s="97" t="s">
        <v>11</v>
      </c>
      <c r="E26" s="97" t="s">
        <v>17</v>
      </c>
      <c r="F26" s="11"/>
    </row>
    <row r="27" spans="1:6" ht="20.25" x14ac:dyDescent="0.55000000000000004">
      <c r="A27" s="93" t="s">
        <v>287</v>
      </c>
      <c r="B27" s="98" t="s">
        <v>12</v>
      </c>
      <c r="C27" s="98" t="s">
        <v>22</v>
      </c>
      <c r="D27" s="98" t="s">
        <v>13</v>
      </c>
      <c r="E27" s="98" t="s">
        <v>22</v>
      </c>
      <c r="F27" s="12"/>
    </row>
    <row r="28" spans="1:6" ht="15" x14ac:dyDescent="0.2">
      <c r="A28" s="47" t="s">
        <v>23</v>
      </c>
      <c r="B28" s="301">
        <v>261</v>
      </c>
      <c r="C28" s="301">
        <v>266</v>
      </c>
      <c r="D28" s="301">
        <f t="shared" ref="D28:D34" si="2">+C28-B28</f>
        <v>5</v>
      </c>
      <c r="E28" s="302">
        <f t="shared" ref="E28:E31" si="3">ROUND(C28/$C$35,2)</f>
        <v>0.04</v>
      </c>
    </row>
    <row r="29" spans="1:6" ht="15" x14ac:dyDescent="0.2">
      <c r="A29" s="47" t="s">
        <v>24</v>
      </c>
      <c r="B29" s="47">
        <v>2743</v>
      </c>
      <c r="C29" s="47">
        <v>2826</v>
      </c>
      <c r="D29" s="47">
        <f t="shared" si="2"/>
        <v>83</v>
      </c>
      <c r="E29" s="302">
        <f>ROUND(C29/$C$35,2)</f>
        <v>0.42</v>
      </c>
    </row>
    <row r="30" spans="1:6" ht="15" x14ac:dyDescent="0.2">
      <c r="A30" s="47" t="s">
        <v>25</v>
      </c>
      <c r="B30" s="47">
        <v>229</v>
      </c>
      <c r="C30" s="47">
        <v>235</v>
      </c>
      <c r="D30" s="47">
        <f t="shared" si="2"/>
        <v>6</v>
      </c>
      <c r="E30" s="302">
        <f t="shared" si="3"/>
        <v>0.03</v>
      </c>
    </row>
    <row r="31" spans="1:6" ht="15" x14ac:dyDescent="0.2">
      <c r="A31" s="47" t="s">
        <v>168</v>
      </c>
      <c r="B31" s="47">
        <v>905</v>
      </c>
      <c r="C31" s="47">
        <v>953</v>
      </c>
      <c r="D31" s="47">
        <f t="shared" si="2"/>
        <v>48</v>
      </c>
      <c r="E31" s="302">
        <f t="shared" si="3"/>
        <v>0.14000000000000001</v>
      </c>
    </row>
    <row r="32" spans="1:6" ht="15" x14ac:dyDescent="0.2">
      <c r="A32" s="47" t="s">
        <v>169</v>
      </c>
      <c r="B32" s="47">
        <v>214</v>
      </c>
      <c r="C32" s="47">
        <v>220</v>
      </c>
      <c r="D32" s="47">
        <f t="shared" si="2"/>
        <v>6</v>
      </c>
      <c r="E32" s="302">
        <f>ROUND(C32/$C$35,2)</f>
        <v>0.03</v>
      </c>
    </row>
    <row r="33" spans="1:5" ht="15" x14ac:dyDescent="0.2">
      <c r="A33" s="47" t="s">
        <v>145</v>
      </c>
      <c r="B33" s="47">
        <v>1348</v>
      </c>
      <c r="C33" s="47">
        <v>1351</v>
      </c>
      <c r="D33" s="47">
        <f t="shared" si="2"/>
        <v>3</v>
      </c>
      <c r="E33" s="302">
        <f>ROUND(C33/$C$35,2)</f>
        <v>0.2</v>
      </c>
    </row>
    <row r="34" spans="1:5" ht="17.25" x14ac:dyDescent="0.35">
      <c r="A34" s="47" t="s">
        <v>196</v>
      </c>
      <c r="B34" s="99">
        <v>934</v>
      </c>
      <c r="C34" s="99">
        <v>944</v>
      </c>
      <c r="D34" s="99">
        <f t="shared" si="2"/>
        <v>10</v>
      </c>
      <c r="E34" s="484">
        <f>ROUND(C34/$C$35,2)</f>
        <v>0.14000000000000001</v>
      </c>
    </row>
    <row r="35" spans="1:5" s="304" customFormat="1" ht="18" x14ac:dyDescent="0.4">
      <c r="A35" s="93" t="s">
        <v>151</v>
      </c>
      <c r="B35" s="303">
        <f>SUM(B28:B34)</f>
        <v>6634</v>
      </c>
      <c r="C35" s="303">
        <f>SUM(C28:C34)</f>
        <v>6795</v>
      </c>
      <c r="D35" s="303">
        <f>SUM(D28:D34)</f>
        <v>161</v>
      </c>
      <c r="E35" s="376" t="str">
        <f>TEXT(SUM(SUM(E28:E33)+ROUND(C34/$C$35,2)),"0%")</f>
        <v>100%</v>
      </c>
    </row>
    <row r="36" spans="1:5" ht="15" x14ac:dyDescent="0.2">
      <c r="A36" s="47"/>
      <c r="B36" s="47"/>
      <c r="C36" s="47"/>
      <c r="D36" s="47"/>
      <c r="E36" s="299"/>
    </row>
    <row r="37" spans="1:5" x14ac:dyDescent="0.25">
      <c r="A37" s="93" t="s">
        <v>331</v>
      </c>
      <c r="B37" s="96"/>
      <c r="C37" s="47"/>
      <c r="D37" s="47"/>
      <c r="E37" s="299"/>
    </row>
    <row r="38" spans="1:5" ht="15" x14ac:dyDescent="0.2">
      <c r="A38" s="392" t="s">
        <v>192</v>
      </c>
      <c r="B38" s="467">
        <v>3.8680832862795479E-2</v>
      </c>
      <c r="C38" s="47"/>
      <c r="D38" s="47"/>
      <c r="E38" s="299"/>
    </row>
    <row r="39" spans="1:5" ht="15" x14ac:dyDescent="0.2">
      <c r="A39" s="392" t="s">
        <v>193</v>
      </c>
      <c r="B39" s="467">
        <v>3.7519470398980126E-2</v>
      </c>
      <c r="C39" s="47"/>
      <c r="D39" s="47"/>
      <c r="E39" s="47"/>
    </row>
    <row r="40" spans="1:5" ht="15" x14ac:dyDescent="0.2">
      <c r="A40" s="392" t="s">
        <v>330</v>
      </c>
      <c r="B40" s="467">
        <v>4.6199999999999998E-2</v>
      </c>
      <c r="C40" s="47"/>
      <c r="D40" s="47"/>
      <c r="E40" s="47"/>
    </row>
    <row r="41" spans="1:5" ht="7.5" customHeight="1" x14ac:dyDescent="0.2"/>
    <row r="42" spans="1:5" ht="15.75" customHeight="1" x14ac:dyDescent="0.25">
      <c r="A42" s="93" t="s">
        <v>194</v>
      </c>
    </row>
    <row r="43" spans="1:5" ht="15.75" customHeight="1" x14ac:dyDescent="0.2">
      <c r="A43" s="392" t="s">
        <v>244</v>
      </c>
      <c r="B43" s="492" t="s">
        <v>245</v>
      </c>
    </row>
    <row r="44" spans="1:5" ht="15.75" customHeight="1" x14ac:dyDescent="0.2">
      <c r="A44" s="392" t="s">
        <v>195</v>
      </c>
      <c r="B44" s="492" t="s">
        <v>321</v>
      </c>
    </row>
    <row r="45" spans="1:5" ht="15.75" customHeight="1" x14ac:dyDescent="0.35">
      <c r="A45" s="392"/>
      <c r="B45" s="393"/>
    </row>
    <row r="46" spans="1:5" ht="15.75" customHeight="1" x14ac:dyDescent="0.2">
      <c r="A46" s="47" t="s">
        <v>313</v>
      </c>
    </row>
    <row r="47" spans="1:5" ht="15.75" customHeight="1" x14ac:dyDescent="0.2">
      <c r="A47" s="47" t="s">
        <v>316</v>
      </c>
    </row>
    <row r="48" spans="1:5" ht="15.75" customHeight="1" x14ac:dyDescent="0.2">
      <c r="A48" s="47" t="s">
        <v>329</v>
      </c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&amp;C23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39"/>
  <sheetViews>
    <sheetView zoomScale="85" zoomScaleNormal="85" workbookViewId="0"/>
  </sheetViews>
  <sheetFormatPr defaultRowHeight="12.75" x14ac:dyDescent="0.2"/>
  <cols>
    <col min="1" max="1" width="30.77734375" style="13" customWidth="1"/>
    <col min="2" max="6" width="12.77734375" style="13" customWidth="1"/>
    <col min="7" max="16384" width="8.88671875" style="13"/>
  </cols>
  <sheetData>
    <row r="1" spans="1:6" ht="18" x14ac:dyDescent="0.25">
      <c r="A1" s="131" t="str">
        <f>'Cover Page'!$H$10</f>
        <v>American Financial Group, Inc.</v>
      </c>
    </row>
    <row r="2" spans="1:6" ht="18" x14ac:dyDescent="0.25">
      <c r="A2" s="131" t="s">
        <v>189</v>
      </c>
      <c r="B2" s="14"/>
      <c r="C2" s="14"/>
      <c r="D2" s="14"/>
      <c r="E2" s="14"/>
      <c r="F2" s="14"/>
    </row>
    <row r="3" spans="1:6" ht="18" x14ac:dyDescent="0.25">
      <c r="A3" s="390" t="s">
        <v>398</v>
      </c>
      <c r="B3" s="14"/>
      <c r="C3" s="14"/>
      <c r="D3" s="14"/>
      <c r="E3" s="14"/>
      <c r="F3" s="14"/>
    </row>
    <row r="4" spans="1:6" ht="15" x14ac:dyDescent="0.2">
      <c r="A4" s="153" t="s">
        <v>14</v>
      </c>
      <c r="B4" s="14"/>
      <c r="C4" s="14"/>
      <c r="D4" s="14"/>
      <c r="E4" s="14"/>
      <c r="F4" s="14"/>
    </row>
    <row r="5" spans="1:6" ht="12.75" customHeight="1" x14ac:dyDescent="0.2"/>
    <row r="6" spans="1:6" ht="20.25" x14ac:dyDescent="0.55000000000000004">
      <c r="A6" s="112"/>
      <c r="B6" s="114" t="s">
        <v>36</v>
      </c>
      <c r="C6" s="114"/>
      <c r="D6" s="114"/>
      <c r="E6" s="114"/>
      <c r="F6" s="115"/>
    </row>
    <row r="7" spans="1:6" ht="15.75" x14ac:dyDescent="0.25">
      <c r="A7" s="112"/>
      <c r="B7" s="109" t="s">
        <v>21</v>
      </c>
      <c r="C7" s="109"/>
      <c r="D7" s="109" t="s">
        <v>11</v>
      </c>
      <c r="E7" s="109" t="s">
        <v>190</v>
      </c>
    </row>
    <row r="8" spans="1:6" ht="20.25" x14ac:dyDescent="0.55000000000000004">
      <c r="A8" s="115" t="s">
        <v>289</v>
      </c>
      <c r="B8" s="113" t="s">
        <v>12</v>
      </c>
      <c r="C8" s="113" t="s">
        <v>22</v>
      </c>
      <c r="D8" s="113" t="s">
        <v>13</v>
      </c>
      <c r="E8" s="113" t="s">
        <v>22</v>
      </c>
    </row>
    <row r="9" spans="1:6" ht="15" x14ac:dyDescent="0.2">
      <c r="A9" s="112" t="s">
        <v>243</v>
      </c>
      <c r="B9" s="112"/>
      <c r="C9" s="112"/>
      <c r="D9" s="112"/>
      <c r="E9" s="112"/>
    </row>
    <row r="10" spans="1:6" ht="15" x14ac:dyDescent="0.2">
      <c r="A10" s="112" t="s">
        <v>37</v>
      </c>
      <c r="B10" s="305">
        <v>6650</v>
      </c>
      <c r="C10" s="305">
        <v>6852</v>
      </c>
      <c r="D10" s="305">
        <f>+C10-B10</f>
        <v>202</v>
      </c>
      <c r="E10" s="302">
        <f>ROUND(C10/$C$19,2)</f>
        <v>0.21</v>
      </c>
    </row>
    <row r="11" spans="1:6" ht="15" x14ac:dyDescent="0.2">
      <c r="A11" s="112" t="s">
        <v>38</v>
      </c>
      <c r="B11" s="112">
        <v>6695</v>
      </c>
      <c r="C11" s="112">
        <v>6934</v>
      </c>
      <c r="D11" s="112">
        <f>+C11-B11</f>
        <v>239</v>
      </c>
      <c r="E11" s="302">
        <f>ROUND(C11/$C$19,2)</f>
        <v>0.21</v>
      </c>
    </row>
    <row r="12" spans="1:6" ht="15" x14ac:dyDescent="0.2">
      <c r="A12" s="112" t="s">
        <v>39</v>
      </c>
      <c r="B12" s="112">
        <v>8271</v>
      </c>
      <c r="C12" s="112">
        <v>8615</v>
      </c>
      <c r="D12" s="112">
        <f>+C12-B12</f>
        <v>344</v>
      </c>
      <c r="E12" s="302">
        <f>ROUND(C12/$C$19,2)</f>
        <v>0.26</v>
      </c>
    </row>
    <row r="13" spans="1:6" ht="17.25" x14ac:dyDescent="0.35">
      <c r="A13" s="112" t="s">
        <v>40</v>
      </c>
      <c r="B13" s="111">
        <v>6659</v>
      </c>
      <c r="C13" s="111">
        <v>6844</v>
      </c>
      <c r="D13" s="111">
        <f>+C13-B13</f>
        <v>185</v>
      </c>
      <c r="E13" s="364" t="str">
        <f>TEXT(+ROUND(C13/$C$19,2)-0.01,"0%")</f>
        <v>20%</v>
      </c>
    </row>
    <row r="14" spans="1:6" ht="15" x14ac:dyDescent="0.2">
      <c r="A14" s="112" t="s">
        <v>295</v>
      </c>
      <c r="B14" s="112">
        <f>SUM(B10:B13)</f>
        <v>28275</v>
      </c>
      <c r="C14" s="112">
        <f>SUM(C10:C13)</f>
        <v>29245</v>
      </c>
      <c r="D14" s="112">
        <f>SUM(D10:D13)</f>
        <v>970</v>
      </c>
      <c r="E14" s="375" t="str">
        <f>TEXT(SUM(SUM(E10:E12)+ROUND(C13/$C$19,2))-0.01,"0%")</f>
        <v>88%</v>
      </c>
    </row>
    <row r="15" spans="1:6" ht="11.25" customHeight="1" x14ac:dyDescent="0.2">
      <c r="A15" s="112"/>
      <c r="B15" s="112"/>
      <c r="C15" s="112"/>
      <c r="D15" s="112"/>
      <c r="E15" s="306"/>
    </row>
    <row r="16" spans="1:6" ht="15" x14ac:dyDescent="0.2">
      <c r="A16" s="112" t="s">
        <v>41</v>
      </c>
      <c r="B16" s="112">
        <v>803</v>
      </c>
      <c r="C16" s="112">
        <v>791</v>
      </c>
      <c r="D16" s="112">
        <f>+C16-B16</f>
        <v>-12</v>
      </c>
      <c r="E16" s="302">
        <f>ROUND(C16/$C$19,2)</f>
        <v>0.02</v>
      </c>
    </row>
    <row r="17" spans="1:6" ht="15" x14ac:dyDescent="0.2">
      <c r="A17" s="112" t="s">
        <v>42</v>
      </c>
      <c r="B17" s="112">
        <v>378</v>
      </c>
      <c r="C17" s="112">
        <v>383</v>
      </c>
      <c r="D17" s="112">
        <f>+C17-B17</f>
        <v>5</v>
      </c>
      <c r="E17" s="302">
        <f>ROUND(C17/$C$19,2)</f>
        <v>0.01</v>
      </c>
    </row>
    <row r="18" spans="1:6" ht="17.25" x14ac:dyDescent="0.35">
      <c r="A18" s="112" t="s">
        <v>43</v>
      </c>
      <c r="B18" s="111">
        <v>2681</v>
      </c>
      <c r="C18" s="111">
        <v>2964</v>
      </c>
      <c r="D18" s="111">
        <f>+C18-B18</f>
        <v>283</v>
      </c>
      <c r="E18" s="364" t="str">
        <f>TEXT(+ROUND(C18/$C$19,3),"0%")</f>
        <v>9%</v>
      </c>
    </row>
    <row r="19" spans="1:6" s="6" customFormat="1" ht="18" x14ac:dyDescent="0.4">
      <c r="A19" s="117" t="s">
        <v>4</v>
      </c>
      <c r="B19" s="308">
        <f>SUM(B14:B18)</f>
        <v>32137</v>
      </c>
      <c r="C19" s="308">
        <f>SUM(C14:C18)</f>
        <v>33383</v>
      </c>
      <c r="D19" s="308">
        <f>SUM(D14:D18)</f>
        <v>1246</v>
      </c>
      <c r="E19" s="376" t="str">
        <f>TEXT(SUM(SUM(E10:E12)+ROUND(C13/$C$19,2)+SUM(E16:E17)+ROUND(C18/$C$19,2))-0.01,"0%")</f>
        <v>100%</v>
      </c>
    </row>
    <row r="20" spans="1:6" ht="15" customHeight="1" x14ac:dyDescent="0.2">
      <c r="A20" s="112"/>
      <c r="B20" s="112"/>
      <c r="C20" s="112"/>
      <c r="D20" s="112"/>
      <c r="E20" s="112"/>
      <c r="F20" s="112"/>
    </row>
    <row r="21" spans="1:6" ht="15" x14ac:dyDescent="0.2">
      <c r="A21" s="112" t="s">
        <v>135</v>
      </c>
      <c r="B21" s="116"/>
      <c r="C21" s="116"/>
      <c r="D21" s="116"/>
      <c r="E21" s="116"/>
      <c r="F21" s="116"/>
    </row>
    <row r="22" spans="1:6" ht="15" x14ac:dyDescent="0.2">
      <c r="A22" s="112" t="s">
        <v>136</v>
      </c>
      <c r="B22" s="112"/>
      <c r="C22" s="112"/>
      <c r="D22" s="112"/>
      <c r="E22" s="112"/>
      <c r="F22" s="112"/>
    </row>
    <row r="23" spans="1:6" ht="15" x14ac:dyDescent="0.2">
      <c r="A23" s="112"/>
      <c r="B23" s="112"/>
      <c r="C23" s="112"/>
      <c r="D23" s="112"/>
      <c r="E23" s="112"/>
      <c r="F23" s="112"/>
    </row>
    <row r="24" spans="1:6" ht="15" x14ac:dyDescent="0.2">
      <c r="A24" s="112"/>
      <c r="B24" s="112"/>
      <c r="C24" s="112"/>
      <c r="D24" s="112"/>
      <c r="E24" s="112"/>
      <c r="F24" s="112"/>
    </row>
    <row r="25" spans="1:6" ht="20.25" x14ac:dyDescent="0.55000000000000004">
      <c r="A25" s="112"/>
      <c r="B25" s="114" t="s">
        <v>44</v>
      </c>
      <c r="C25" s="114"/>
      <c r="D25" s="114"/>
      <c r="E25" s="114"/>
      <c r="F25" s="114"/>
    </row>
    <row r="26" spans="1:6" ht="15.75" x14ac:dyDescent="0.25">
      <c r="A26" s="117" t="s">
        <v>45</v>
      </c>
      <c r="B26" s="109" t="s">
        <v>46</v>
      </c>
      <c r="C26" s="109" t="s">
        <v>202</v>
      </c>
      <c r="D26" s="109" t="s">
        <v>21</v>
      </c>
      <c r="E26" s="109"/>
      <c r="F26" s="109" t="s">
        <v>11</v>
      </c>
    </row>
    <row r="27" spans="1:6" ht="20.25" x14ac:dyDescent="0.55000000000000004">
      <c r="A27" s="118" t="s">
        <v>290</v>
      </c>
      <c r="B27" s="113" t="s">
        <v>47</v>
      </c>
      <c r="C27" s="113" t="s">
        <v>47</v>
      </c>
      <c r="D27" s="113" t="s">
        <v>12</v>
      </c>
      <c r="E27" s="113" t="s">
        <v>22</v>
      </c>
      <c r="F27" s="113" t="s">
        <v>13</v>
      </c>
    </row>
    <row r="28" spans="1:6" ht="15" x14ac:dyDescent="0.2">
      <c r="A28" s="119" t="s">
        <v>128</v>
      </c>
      <c r="B28" s="305">
        <v>24134</v>
      </c>
      <c r="C28" s="302">
        <f>ROUND(B28/$B$36,2)</f>
        <v>0.76</v>
      </c>
      <c r="D28" s="305">
        <v>24135</v>
      </c>
      <c r="E28" s="305">
        <v>25203</v>
      </c>
      <c r="F28" s="305">
        <f>+E28-D28</f>
        <v>1068</v>
      </c>
    </row>
    <row r="29" spans="1:6" ht="17.25" x14ac:dyDescent="0.35">
      <c r="A29" s="119" t="s">
        <v>129</v>
      </c>
      <c r="B29" s="111">
        <v>6828</v>
      </c>
      <c r="C29" s="364" t="str">
        <f>TEXT(+ROUND(B29/$B$36,3)+0.01,"0%")</f>
        <v>22%</v>
      </c>
      <c r="D29" s="111">
        <v>6828</v>
      </c>
      <c r="E29" s="111">
        <v>7004</v>
      </c>
      <c r="F29" s="111">
        <f>+E29-D29</f>
        <v>176</v>
      </c>
    </row>
    <row r="30" spans="1:6" ht="15" x14ac:dyDescent="0.2">
      <c r="A30" s="119"/>
      <c r="B30" s="112">
        <f>SUM(B28:B29)</f>
        <v>30962</v>
      </c>
      <c r="C30" s="375" t="str">
        <f>TEXT(SUM(C28+ROUND(B29/$B$36,2))+0.01,"0%")</f>
        <v>98%</v>
      </c>
      <c r="D30" s="112">
        <f>SUM(D28:D29)</f>
        <v>30963</v>
      </c>
      <c r="E30" s="112">
        <f>SUM(E28:E29)</f>
        <v>32207</v>
      </c>
      <c r="F30" s="112">
        <f>SUM(F28:F29)</f>
        <v>1244</v>
      </c>
    </row>
    <row r="31" spans="1:6" ht="15" x14ac:dyDescent="0.2">
      <c r="A31" s="120"/>
      <c r="B31" s="112"/>
      <c r="C31" s="306"/>
      <c r="D31" s="112"/>
      <c r="E31" s="112"/>
      <c r="F31" s="112"/>
    </row>
    <row r="32" spans="1:6" ht="15" x14ac:dyDescent="0.2">
      <c r="A32" s="119" t="s">
        <v>130</v>
      </c>
      <c r="B32" s="112">
        <v>686</v>
      </c>
      <c r="C32" s="302">
        <f>ROUND(B32/$B$36,2)</f>
        <v>0.02</v>
      </c>
      <c r="D32" s="112">
        <v>691</v>
      </c>
      <c r="E32" s="112">
        <v>677</v>
      </c>
      <c r="F32" s="112">
        <f>+E32-D32</f>
        <v>-14</v>
      </c>
    </row>
    <row r="33" spans="1:6" ht="15" x14ac:dyDescent="0.2">
      <c r="A33" s="119" t="s">
        <v>131</v>
      </c>
      <c r="B33" s="112">
        <v>145</v>
      </c>
      <c r="C33" s="302">
        <f>ROUND(B33/$B$36,2)</f>
        <v>0</v>
      </c>
      <c r="D33" s="112">
        <v>147</v>
      </c>
      <c r="E33" s="112">
        <v>147</v>
      </c>
      <c r="F33" s="112">
        <f>+E33-D33</f>
        <v>0</v>
      </c>
    </row>
    <row r="34" spans="1:6" ht="15" x14ac:dyDescent="0.2">
      <c r="A34" s="119" t="s">
        <v>132</v>
      </c>
      <c r="B34" s="112">
        <v>50</v>
      </c>
      <c r="C34" s="302">
        <f>ROUND(B34/$B$36,2)</f>
        <v>0</v>
      </c>
      <c r="D34" s="112">
        <v>50</v>
      </c>
      <c r="E34" s="112">
        <v>61</v>
      </c>
      <c r="F34" s="112">
        <f>+E34-D34</f>
        <v>11</v>
      </c>
    </row>
    <row r="35" spans="1:6" ht="17.25" x14ac:dyDescent="0.35">
      <c r="A35" s="119" t="s">
        <v>133</v>
      </c>
      <c r="B35" s="111">
        <v>41</v>
      </c>
      <c r="C35" s="364" t="str">
        <f>TEXT(+ROUND(B35/$B$36,3),"0%")</f>
        <v>0%</v>
      </c>
      <c r="D35" s="111">
        <v>44</v>
      </c>
      <c r="E35" s="111">
        <v>58</v>
      </c>
      <c r="F35" s="111">
        <f>+E35-D35</f>
        <v>14</v>
      </c>
    </row>
    <row r="36" spans="1:6" ht="18" x14ac:dyDescent="0.4">
      <c r="A36" s="117" t="s">
        <v>4</v>
      </c>
      <c r="B36" s="308">
        <f>SUM(B30:B35)</f>
        <v>31884</v>
      </c>
      <c r="C36" s="376" t="str">
        <f>TEXT(SUM(C28+ROUND(B29/$B$36,2)+SUM(C32:C34)+ROUND(B35/$B$36,2))+0.01,"0%")</f>
        <v>100%</v>
      </c>
      <c r="D36" s="308">
        <f>SUM(D30:D35)</f>
        <v>31895</v>
      </c>
      <c r="E36" s="308">
        <f>SUM(E30:E35)</f>
        <v>33150</v>
      </c>
      <c r="F36" s="308">
        <f>SUM(F30:F35)</f>
        <v>1255</v>
      </c>
    </row>
    <row r="37" spans="1:6" ht="15" x14ac:dyDescent="0.2">
      <c r="A37" s="112"/>
      <c r="B37" s="112"/>
      <c r="C37" s="112"/>
      <c r="D37" s="112"/>
      <c r="E37" s="112"/>
      <c r="F37" s="112"/>
    </row>
    <row r="38" spans="1:6" ht="15" customHeight="1" x14ac:dyDescent="0.2"/>
    <row r="39" spans="1:6" ht="15" customHeight="1" x14ac:dyDescent="0.2"/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&amp;C24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45"/>
  <sheetViews>
    <sheetView zoomScale="85" zoomScaleNormal="85" workbookViewId="0"/>
  </sheetViews>
  <sheetFormatPr defaultRowHeight="12.75" x14ac:dyDescent="0.2"/>
  <cols>
    <col min="1" max="1" width="40.77734375" style="4" customWidth="1"/>
    <col min="2" max="6" width="12.77734375" style="4" customWidth="1"/>
    <col min="7" max="16384" width="8.88671875" style="4"/>
  </cols>
  <sheetData>
    <row r="1" spans="1:9" ht="18" x14ac:dyDescent="0.25">
      <c r="A1" s="131" t="str">
        <f>'Cover Page'!$H$10</f>
        <v>American Financial Group, Inc.</v>
      </c>
    </row>
    <row r="2" spans="1:9" ht="18" x14ac:dyDescent="0.25">
      <c r="A2" s="131" t="s">
        <v>203</v>
      </c>
    </row>
    <row r="3" spans="1:9" ht="18" x14ac:dyDescent="0.25">
      <c r="A3" s="390" t="s">
        <v>398</v>
      </c>
    </row>
    <row r="4" spans="1:9" ht="15" x14ac:dyDescent="0.2">
      <c r="A4" s="153" t="s">
        <v>14</v>
      </c>
    </row>
    <row r="5" spans="1:9" ht="20.25" x14ac:dyDescent="0.55000000000000004">
      <c r="B5" s="105"/>
      <c r="C5" s="107"/>
      <c r="D5" s="107"/>
      <c r="F5" s="108" t="s">
        <v>17</v>
      </c>
    </row>
    <row r="6" spans="1:9" ht="15.75" x14ac:dyDescent="0.25">
      <c r="B6" s="108" t="s">
        <v>21</v>
      </c>
      <c r="C6" s="108"/>
      <c r="D6" s="109" t="s">
        <v>11</v>
      </c>
      <c r="E6" s="108" t="s">
        <v>17</v>
      </c>
      <c r="F6" s="108" t="s">
        <v>170</v>
      </c>
    </row>
    <row r="7" spans="1:9" ht="20.25" x14ac:dyDescent="0.55000000000000004">
      <c r="A7" s="104" t="s">
        <v>291</v>
      </c>
      <c r="B7" s="110" t="s">
        <v>12</v>
      </c>
      <c r="C7" s="110" t="s">
        <v>22</v>
      </c>
      <c r="D7" s="110" t="s">
        <v>13</v>
      </c>
      <c r="E7" s="110" t="s">
        <v>22</v>
      </c>
      <c r="F7" s="110" t="s">
        <v>15</v>
      </c>
    </row>
    <row r="8" spans="1:9" ht="15" x14ac:dyDescent="0.2">
      <c r="A8" s="105" t="s">
        <v>31</v>
      </c>
      <c r="B8" s="105"/>
      <c r="C8" s="105"/>
      <c r="D8" s="105"/>
      <c r="E8" s="105"/>
      <c r="F8" s="105"/>
    </row>
    <row r="9" spans="1:9" ht="15" x14ac:dyDescent="0.2">
      <c r="A9" s="105" t="s">
        <v>32</v>
      </c>
      <c r="B9" s="341">
        <v>294</v>
      </c>
      <c r="C9" s="341">
        <v>306</v>
      </c>
      <c r="D9" s="341">
        <f>C9-B9</f>
        <v>12</v>
      </c>
      <c r="E9" s="302">
        <f>ROUND(C9/$C$15,2)</f>
        <v>0.05</v>
      </c>
      <c r="F9" s="302">
        <f>ROUND(C9/'Pg 21 Inv_Schedule'!$F$17,2)</f>
        <v>0.01</v>
      </c>
      <c r="H9" s="369"/>
    </row>
    <row r="10" spans="1:9" ht="15" x14ac:dyDescent="0.2">
      <c r="A10" s="105" t="s">
        <v>293</v>
      </c>
      <c r="B10" s="105">
        <v>1624</v>
      </c>
      <c r="C10" s="105">
        <v>1807</v>
      </c>
      <c r="D10" s="105">
        <f>C10-B10</f>
        <v>183</v>
      </c>
      <c r="E10" s="302">
        <f>ROUND(C10/$C$15,2)</f>
        <v>0.28999999999999998</v>
      </c>
      <c r="F10" s="302">
        <f>ROUND(C10/'Pg 21 Inv_Schedule'!$F$17,2)</f>
        <v>0.05</v>
      </c>
      <c r="H10" s="369"/>
    </row>
    <row r="11" spans="1:9" ht="15" x14ac:dyDescent="0.2">
      <c r="A11" s="105" t="s">
        <v>33</v>
      </c>
      <c r="B11" s="105">
        <v>848</v>
      </c>
      <c r="C11" s="105">
        <v>940</v>
      </c>
      <c r="D11" s="105">
        <f>C11-B11</f>
        <v>92</v>
      </c>
      <c r="E11" s="302">
        <f>ROUND(C11/$C$15,2)</f>
        <v>0.15</v>
      </c>
      <c r="F11" s="302">
        <f>ROUND(C11/'Pg 21 Inv_Schedule'!$F$17,2)</f>
        <v>0.02</v>
      </c>
      <c r="H11" s="369"/>
    </row>
    <row r="12" spans="1:9" ht="17.25" x14ac:dyDescent="0.35">
      <c r="A12" s="105" t="s">
        <v>34</v>
      </c>
      <c r="B12" s="111">
        <v>780</v>
      </c>
      <c r="C12" s="111">
        <v>832</v>
      </c>
      <c r="D12" s="371">
        <f>C12-B12</f>
        <v>52</v>
      </c>
      <c r="E12" s="364" t="str">
        <f>TEXT(+ROUND(C12/$C$15,3),"0%")</f>
        <v>14%</v>
      </c>
      <c r="F12" s="364" t="str">
        <f>TEXT(+ROUND(C12/'Pg 21 Inv_Schedule'!$F$17,2),"0%")</f>
        <v>2%</v>
      </c>
      <c r="H12" s="369"/>
    </row>
    <row r="13" spans="1:9" ht="15" x14ac:dyDescent="0.2">
      <c r="A13" s="105" t="s">
        <v>294</v>
      </c>
      <c r="B13" s="105">
        <f>SUM(B9:B12)</f>
        <v>3546</v>
      </c>
      <c r="C13" s="105">
        <f>SUM(C9:C12)</f>
        <v>3885</v>
      </c>
      <c r="D13" s="105">
        <f>SUM(D9:D12)</f>
        <v>339</v>
      </c>
      <c r="E13" s="375" t="str">
        <f>TEXT(SUM(SUM(E9:E11)+ROUND(C12/$C$15,3)),"0%")</f>
        <v>63%</v>
      </c>
      <c r="F13" s="375" t="str">
        <f>TEXT(SUM(SUM(F9:F11)+ROUND(C12/'Pg 21 Inv_Schedule'!$F$17,3)),"0%")</f>
        <v>10%</v>
      </c>
      <c r="H13" s="369"/>
    </row>
    <row r="14" spans="1:9" ht="17.25" x14ac:dyDescent="0.35">
      <c r="A14" s="105" t="s">
        <v>35</v>
      </c>
      <c r="B14" s="371">
        <v>2185</v>
      </c>
      <c r="C14" s="371">
        <v>2297</v>
      </c>
      <c r="D14" s="371">
        <f>C14-B14</f>
        <v>112</v>
      </c>
      <c r="E14" s="364" t="str">
        <f>TEXT(+ROUND(C14/$C$15,3),"0%")</f>
        <v>37%</v>
      </c>
      <c r="F14" s="364" t="str">
        <f>TEXT(+ROUND(C14/'Pg 21 Inv_Schedule'!$F$17,2),"0%")</f>
        <v>6%</v>
      </c>
      <c r="H14" s="369"/>
    </row>
    <row r="15" spans="1:9" s="5" customFormat="1" ht="18" x14ac:dyDescent="0.4">
      <c r="A15" s="106" t="s">
        <v>188</v>
      </c>
      <c r="B15" s="308">
        <f>SUM(B13:B14)</f>
        <v>5731</v>
      </c>
      <c r="C15" s="308">
        <f>SUM(C13:C14)</f>
        <v>6182</v>
      </c>
      <c r="D15" s="308">
        <f>SUM(D13:D14)</f>
        <v>451</v>
      </c>
      <c r="E15" s="376" t="str">
        <f>TEXT(SUM(SUM(E9:E11)+ROUND(C12/$C$15,2)+ROUND(C14/$C$15,2))+0.01,"0%")</f>
        <v>100%</v>
      </c>
      <c r="F15" s="376" t="str">
        <f>TEXT(SUM(SUM(F9:F11)+ROUND(C12/'Pg 21 Inv_Schedule'!$F$17,2)+ROUND(C14/'Pg 21 Inv_Schedule'!$F$17,2)),"0%")</f>
        <v>16%</v>
      </c>
      <c r="H15" s="369"/>
      <c r="I15" s="370"/>
    </row>
    <row r="16" spans="1:9" ht="15" x14ac:dyDescent="0.2">
      <c r="A16" s="105"/>
      <c r="B16" s="105"/>
      <c r="C16" s="105"/>
      <c r="D16" s="105"/>
      <c r="E16" s="342"/>
      <c r="F16" s="342"/>
    </row>
    <row r="17" spans="1:6" ht="15" x14ac:dyDescent="0.2">
      <c r="A17" s="105"/>
      <c r="B17" s="105"/>
      <c r="C17" s="105"/>
      <c r="D17" s="105"/>
      <c r="E17" s="342"/>
      <c r="F17" s="342"/>
    </row>
    <row r="18" spans="1:6" ht="15" x14ac:dyDescent="0.2">
      <c r="A18" s="47" t="s">
        <v>285</v>
      </c>
      <c r="B18" s="341">
        <v>4611</v>
      </c>
      <c r="C18" s="341">
        <v>4997</v>
      </c>
      <c r="D18" s="341">
        <f>C18-B18</f>
        <v>386</v>
      </c>
      <c r="E18" s="302">
        <f>ROUND(C18/$C$15,2)</f>
        <v>0.81</v>
      </c>
      <c r="F18" s="302">
        <f>ROUND(C18/'Pg 21 Inv_Schedule'!$F$17,2)</f>
        <v>0.13</v>
      </c>
    </row>
    <row r="19" spans="1:6" ht="15" x14ac:dyDescent="0.2">
      <c r="A19" s="96" t="s">
        <v>151</v>
      </c>
      <c r="B19" s="105">
        <v>1119</v>
      </c>
      <c r="C19" s="105">
        <v>1173</v>
      </c>
      <c r="D19" s="105">
        <f>C19-B19</f>
        <v>54</v>
      </c>
      <c r="E19" s="302">
        <f>ROUND(C19/$C$15,2)</f>
        <v>0.19</v>
      </c>
      <c r="F19" s="302">
        <f>ROUND(C19/'Pg 21 Inv_Schedule'!$F$17,2)</f>
        <v>0.03</v>
      </c>
    </row>
    <row r="20" spans="1:6" ht="17.25" x14ac:dyDescent="0.35">
      <c r="A20" s="47" t="s">
        <v>5</v>
      </c>
      <c r="B20" s="371">
        <v>1</v>
      </c>
      <c r="C20" s="371">
        <v>12</v>
      </c>
      <c r="D20" s="373">
        <f>C20-B20</f>
        <v>11</v>
      </c>
      <c r="E20" s="364" t="str">
        <f>TEXT(+ROUND(C20/$C$21,3),"0%")</f>
        <v>0%</v>
      </c>
      <c r="F20" s="364" t="str">
        <f>TEXT(+ROUND(C20/'Pg 21 Inv_Schedule'!$F$17,2),"0%")</f>
        <v>0%</v>
      </c>
    </row>
    <row r="21" spans="1:6" s="5" customFormat="1" ht="18" x14ac:dyDescent="0.4">
      <c r="A21" s="93" t="s">
        <v>188</v>
      </c>
      <c r="B21" s="372">
        <f>B15</f>
        <v>5731</v>
      </c>
      <c r="C21" s="372">
        <f>C15</f>
        <v>6182</v>
      </c>
      <c r="D21" s="308">
        <f>SUM(D18:D20)</f>
        <v>451</v>
      </c>
      <c r="E21" s="376" t="str">
        <f>TEXT(SUM(SUM(E18:E19)+ROUND(C20/$C$21,3)),"0%")</f>
        <v>100%</v>
      </c>
      <c r="F21" s="376" t="str">
        <f>TEXT(SUM(SUM(F18:F19)+ROUND(C20/'Pg 21 Inv_Schedule'!$F$17,3)),"0%")</f>
        <v>16%</v>
      </c>
    </row>
    <row r="22" spans="1:6" ht="15" x14ac:dyDescent="0.2">
      <c r="A22" s="105"/>
      <c r="B22" s="105"/>
      <c r="C22" s="105"/>
      <c r="D22" s="342"/>
      <c r="E22" s="342"/>
      <c r="F22" s="105"/>
    </row>
    <row r="23" spans="1:6" ht="15" x14ac:dyDescent="0.2">
      <c r="A23" s="105"/>
      <c r="B23" s="105"/>
      <c r="C23" s="105"/>
      <c r="D23" s="342"/>
      <c r="E23" s="342"/>
      <c r="F23" s="105"/>
    </row>
    <row r="24" spans="1:6" ht="15" x14ac:dyDescent="0.2">
      <c r="A24" s="345" t="s">
        <v>138</v>
      </c>
    </row>
    <row r="25" spans="1:6" ht="15" x14ac:dyDescent="0.2">
      <c r="A25" s="105" t="s">
        <v>137</v>
      </c>
    </row>
    <row r="26" spans="1:6" ht="15" x14ac:dyDescent="0.2">
      <c r="A26" s="345" t="s">
        <v>399</v>
      </c>
    </row>
    <row r="27" spans="1:6" ht="15" x14ac:dyDescent="0.2">
      <c r="A27" s="345" t="s">
        <v>400</v>
      </c>
    </row>
    <row r="28" spans="1:6" ht="15" x14ac:dyDescent="0.2">
      <c r="A28" s="345" t="s">
        <v>392</v>
      </c>
    </row>
    <row r="29" spans="1:6" ht="15" x14ac:dyDescent="0.2">
      <c r="A29" s="105" t="s">
        <v>393</v>
      </c>
    </row>
    <row r="30" spans="1:6" ht="15" x14ac:dyDescent="0.2">
      <c r="A30" s="345" t="s">
        <v>401</v>
      </c>
    </row>
    <row r="31" spans="1:6" ht="15" x14ac:dyDescent="0.2">
      <c r="A31" s="105"/>
    </row>
    <row r="32" spans="1:6" ht="15" x14ac:dyDescent="0.2">
      <c r="A32" s="105"/>
    </row>
    <row r="33" spans="1:1" ht="14.25" x14ac:dyDescent="0.2">
      <c r="A33" s="462"/>
    </row>
    <row r="34" spans="1:1" ht="14.25" x14ac:dyDescent="0.2">
      <c r="A34" s="462"/>
    </row>
    <row r="35" spans="1:1" ht="15" x14ac:dyDescent="0.2">
      <c r="A35" s="105"/>
    </row>
    <row r="36" spans="1:1" ht="15" x14ac:dyDescent="0.2">
      <c r="A36" s="105"/>
    </row>
    <row r="37" spans="1:1" ht="15" x14ac:dyDescent="0.2">
      <c r="A37" s="105"/>
    </row>
    <row r="38" spans="1:1" ht="15" x14ac:dyDescent="0.2">
      <c r="A38" s="105"/>
    </row>
    <row r="39" spans="1:1" ht="15" x14ac:dyDescent="0.2">
      <c r="A39" s="105"/>
    </row>
    <row r="40" spans="1:1" ht="15" x14ac:dyDescent="0.2">
      <c r="A40" s="105"/>
    </row>
    <row r="41" spans="1:1" ht="15" x14ac:dyDescent="0.2">
      <c r="A41" s="105"/>
    </row>
    <row r="42" spans="1:1" ht="15" x14ac:dyDescent="0.2">
      <c r="A42" s="105"/>
    </row>
    <row r="43" spans="1:1" ht="15" x14ac:dyDescent="0.2">
      <c r="A43" s="105"/>
    </row>
    <row r="44" spans="1:1" ht="15" x14ac:dyDescent="0.2">
      <c r="A44" s="105"/>
    </row>
    <row r="45" spans="1:1" ht="15" x14ac:dyDescent="0.2">
      <c r="A45" s="105"/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&amp;C25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33"/>
  <sheetViews>
    <sheetView zoomScale="85" zoomScaleNormal="85" workbookViewId="0"/>
  </sheetViews>
  <sheetFormatPr defaultRowHeight="12.75" x14ac:dyDescent="0.2"/>
  <cols>
    <col min="1" max="1" width="40.77734375" style="4" customWidth="1"/>
    <col min="2" max="6" width="12.77734375" style="4" customWidth="1"/>
    <col min="7" max="16384" width="8.88671875" style="4"/>
  </cols>
  <sheetData>
    <row r="1" spans="1:8" ht="18" x14ac:dyDescent="0.25">
      <c r="A1" s="131" t="str">
        <f>'Cover Page'!$H$10</f>
        <v>American Financial Group, Inc.</v>
      </c>
    </row>
    <row r="2" spans="1:8" ht="18" x14ac:dyDescent="0.25">
      <c r="A2" s="131" t="s">
        <v>197</v>
      </c>
    </row>
    <row r="3" spans="1:8" ht="18" x14ac:dyDescent="0.25">
      <c r="A3" s="390" t="s">
        <v>398</v>
      </c>
    </row>
    <row r="4" spans="1:8" ht="15" x14ac:dyDescent="0.2">
      <c r="A4" s="153" t="s">
        <v>14</v>
      </c>
    </row>
    <row r="5" spans="1:8" ht="15" x14ac:dyDescent="0.2">
      <c r="A5" s="105"/>
      <c r="B5" s="105"/>
      <c r="C5" s="105"/>
      <c r="D5" s="342"/>
      <c r="E5" s="342"/>
      <c r="F5" s="105"/>
    </row>
    <row r="6" spans="1:8" ht="15" x14ac:dyDescent="0.2">
      <c r="B6" s="105"/>
      <c r="C6" s="105"/>
      <c r="D6" s="105"/>
      <c r="E6" s="105"/>
      <c r="F6" s="105"/>
    </row>
    <row r="7" spans="1:8" ht="15.75" x14ac:dyDescent="0.25">
      <c r="A7" s="106" t="s">
        <v>286</v>
      </c>
      <c r="B7" s="108"/>
      <c r="C7" s="108"/>
      <c r="D7" s="108"/>
      <c r="F7" s="108" t="s">
        <v>190</v>
      </c>
    </row>
    <row r="8" spans="1:8" ht="15.75" x14ac:dyDescent="0.25">
      <c r="A8" s="105"/>
      <c r="B8" s="108" t="s">
        <v>21</v>
      </c>
      <c r="C8" s="108"/>
      <c r="D8" s="109" t="s">
        <v>11</v>
      </c>
      <c r="E8" s="109" t="s">
        <v>17</v>
      </c>
      <c r="F8" s="108" t="s">
        <v>170</v>
      </c>
    </row>
    <row r="9" spans="1:8" ht="20.25" x14ac:dyDescent="0.55000000000000004">
      <c r="A9" s="115" t="s">
        <v>291</v>
      </c>
      <c r="B9" s="113" t="s">
        <v>12</v>
      </c>
      <c r="C9" s="113" t="s">
        <v>22</v>
      </c>
      <c r="D9" s="113" t="s">
        <v>13</v>
      </c>
      <c r="E9" s="113" t="s">
        <v>22</v>
      </c>
      <c r="F9" s="113" t="s">
        <v>15</v>
      </c>
    </row>
    <row r="10" spans="1:8" ht="15" x14ac:dyDescent="0.2">
      <c r="A10" s="105" t="s">
        <v>31</v>
      </c>
      <c r="B10" s="105"/>
      <c r="C10" s="105"/>
      <c r="D10" s="105"/>
      <c r="E10" s="105"/>
      <c r="F10" s="105"/>
    </row>
    <row r="11" spans="1:8" ht="15" x14ac:dyDescent="0.2">
      <c r="A11" s="105" t="s">
        <v>32</v>
      </c>
      <c r="B11" s="341">
        <v>134</v>
      </c>
      <c r="C11" s="341">
        <v>143</v>
      </c>
      <c r="D11" s="341">
        <f>+C11-B11</f>
        <v>9</v>
      </c>
      <c r="E11" s="302">
        <f>ROUND(C11/$C$17,2)</f>
        <v>0.03</v>
      </c>
      <c r="F11" s="302">
        <f>ROUND(C11/'Pg 21 Inv_Schedule'!$C$17,2)</f>
        <v>0</v>
      </c>
      <c r="H11" s="369"/>
    </row>
    <row r="12" spans="1:8" ht="15" x14ac:dyDescent="0.2">
      <c r="A12" s="105" t="s">
        <v>293</v>
      </c>
      <c r="B12" s="105">
        <v>1401</v>
      </c>
      <c r="C12" s="105">
        <v>1559</v>
      </c>
      <c r="D12" s="105">
        <f>+C12-B12</f>
        <v>158</v>
      </c>
      <c r="E12" s="302">
        <f>ROUND(C12/$C$17,2)</f>
        <v>0.31</v>
      </c>
      <c r="F12" s="302">
        <f>ROUND(C12/'Pg 21 Inv_Schedule'!$C$17,2)</f>
        <v>0.05</v>
      </c>
      <c r="H12" s="369"/>
    </row>
    <row r="13" spans="1:8" ht="15" x14ac:dyDescent="0.2">
      <c r="A13" s="105" t="s">
        <v>33</v>
      </c>
      <c r="B13" s="105">
        <v>620</v>
      </c>
      <c r="C13" s="105">
        <v>693</v>
      </c>
      <c r="D13" s="105">
        <f>+C13-B13</f>
        <v>73</v>
      </c>
      <c r="E13" s="302">
        <f>ROUND(C13/$C$17,2)</f>
        <v>0.14000000000000001</v>
      </c>
      <c r="F13" s="302">
        <f>ROUND(C13/'Pg 21 Inv_Schedule'!$C$17,2)</f>
        <v>0.02</v>
      </c>
      <c r="H13" s="369"/>
    </row>
    <row r="14" spans="1:8" ht="17.25" x14ac:dyDescent="0.35">
      <c r="A14" s="105" t="s">
        <v>34</v>
      </c>
      <c r="B14" s="111">
        <v>485</v>
      </c>
      <c r="C14" s="111">
        <v>525</v>
      </c>
      <c r="D14" s="111">
        <f>+C14-B14</f>
        <v>40</v>
      </c>
      <c r="E14" s="364" t="str">
        <f>TEXT(+ROUND(C14/$C$17,3)-0.01,"0%")</f>
        <v>10%</v>
      </c>
      <c r="F14" s="364" t="str">
        <f>TEXT(+ROUND(C14/'Pg 21 Inv_Schedule'!$C$17,3),"0%")</f>
        <v>2%</v>
      </c>
      <c r="H14" s="369"/>
    </row>
    <row r="15" spans="1:8" ht="15" x14ac:dyDescent="0.2">
      <c r="A15" s="105" t="s">
        <v>294</v>
      </c>
      <c r="B15" s="112">
        <f>SUM(B11:B14)</f>
        <v>2640</v>
      </c>
      <c r="C15" s="112">
        <f>SUM(C11:C14)</f>
        <v>2920</v>
      </c>
      <c r="D15" s="112">
        <f>SUM(D11:D14)</f>
        <v>280</v>
      </c>
      <c r="E15" s="375" t="str">
        <f>TEXT(SUM(SUM(E11:E13)+ROUND(C14/$C$17,2))-0.01,"0%")</f>
        <v>58%</v>
      </c>
      <c r="F15" s="375" t="str">
        <f>TEXT(SUM(SUM(F11:F13)+ROUND(C14/'Pg 21 Inv_Schedule'!$C$17,2)),"0%")</f>
        <v>9%</v>
      </c>
    </row>
    <row r="16" spans="1:8" ht="17.25" x14ac:dyDescent="0.35">
      <c r="A16" s="105" t="s">
        <v>35</v>
      </c>
      <c r="B16" s="371">
        <v>1971</v>
      </c>
      <c r="C16" s="371">
        <v>2077</v>
      </c>
      <c r="D16" s="371">
        <f>+C16-B16</f>
        <v>106</v>
      </c>
      <c r="E16" s="364" t="str">
        <f>TEXT(+ROUND(C16/$C$17,3),"0%")</f>
        <v>42%</v>
      </c>
      <c r="F16" s="364" t="str">
        <f>TEXT(+ROUND(C16/'Pg 21 Inv_Schedule'!$C$17,3),"0%")</f>
        <v>7%</v>
      </c>
    </row>
    <row r="17" spans="1:6" s="5" customFormat="1" ht="18" x14ac:dyDescent="0.4">
      <c r="A17" s="106" t="s">
        <v>288</v>
      </c>
      <c r="B17" s="308">
        <f>SUM(B15:B16)</f>
        <v>4611</v>
      </c>
      <c r="C17" s="308">
        <f>SUM(C15:C16)</f>
        <v>4997</v>
      </c>
      <c r="D17" s="308">
        <f>SUM(D15:D16)</f>
        <v>386</v>
      </c>
      <c r="E17" s="376" t="str">
        <f>TEXT(SUM(SUM(E11:E13)+ROUND(C14/$C$17,2)+ROUND(C16/$C$17,2))-0.01,"0%")</f>
        <v>100%</v>
      </c>
      <c r="F17" s="376" t="str">
        <f>TEXT(SUM(SUM(F11:F13)+ROUND(C14/'Pg 21 Inv_Schedule'!$C$17,2)+ROUND(C16/'Pg 21 Inv_Schedule'!$C$17,2)),"0%")</f>
        <v>16%</v>
      </c>
    </row>
    <row r="18" spans="1:6" ht="15" x14ac:dyDescent="0.2">
      <c r="A18" s="105"/>
      <c r="B18" s="105"/>
      <c r="C18" s="105"/>
      <c r="D18" s="105"/>
      <c r="E18" s="343"/>
      <c r="F18" s="343"/>
    </row>
    <row r="19" spans="1:6" ht="15" x14ac:dyDescent="0.2">
      <c r="A19" s="410"/>
      <c r="B19" s="410"/>
      <c r="C19" s="410"/>
      <c r="D19" s="410"/>
      <c r="E19" s="411"/>
      <c r="F19" s="411"/>
    </row>
    <row r="20" spans="1:6" ht="15" x14ac:dyDescent="0.2">
      <c r="A20" s="105"/>
      <c r="B20" s="105"/>
      <c r="C20" s="105"/>
      <c r="D20" s="105"/>
      <c r="E20" s="343"/>
      <c r="F20" s="343"/>
    </row>
    <row r="21" spans="1:6" ht="15" x14ac:dyDescent="0.2">
      <c r="B21" s="105"/>
      <c r="C21" s="105"/>
      <c r="D21" s="105"/>
      <c r="E21" s="105"/>
      <c r="F21" s="105"/>
    </row>
    <row r="22" spans="1:6" ht="15.75" x14ac:dyDescent="0.25">
      <c r="A22" s="106" t="s">
        <v>287</v>
      </c>
      <c r="B22" s="109"/>
      <c r="C22" s="109"/>
      <c r="D22" s="109"/>
      <c r="E22" s="109"/>
      <c r="F22" s="109" t="s">
        <v>17</v>
      </c>
    </row>
    <row r="23" spans="1:6" ht="15.75" x14ac:dyDescent="0.25">
      <c r="A23" s="105"/>
      <c r="B23" s="109" t="s">
        <v>21</v>
      </c>
      <c r="C23" s="109"/>
      <c r="D23" s="109" t="s">
        <v>11</v>
      </c>
      <c r="E23" s="109" t="s">
        <v>17</v>
      </c>
      <c r="F23" s="109" t="s">
        <v>170</v>
      </c>
    </row>
    <row r="24" spans="1:6" ht="20.25" x14ac:dyDescent="0.55000000000000004">
      <c r="A24" s="115" t="s">
        <v>291</v>
      </c>
      <c r="B24" s="113" t="s">
        <v>12</v>
      </c>
      <c r="C24" s="113" t="s">
        <v>22</v>
      </c>
      <c r="D24" s="113" t="s">
        <v>13</v>
      </c>
      <c r="E24" s="113" t="s">
        <v>22</v>
      </c>
      <c r="F24" s="113" t="s">
        <v>15</v>
      </c>
    </row>
    <row r="25" spans="1:6" ht="15" x14ac:dyDescent="0.2">
      <c r="A25" s="105" t="s">
        <v>31</v>
      </c>
      <c r="B25" s="105"/>
      <c r="C25" s="105"/>
      <c r="D25" s="105"/>
      <c r="E25" s="105"/>
      <c r="F25" s="105"/>
    </row>
    <row r="26" spans="1:6" ht="15" x14ac:dyDescent="0.2">
      <c r="A26" s="105" t="s">
        <v>32</v>
      </c>
      <c r="B26" s="341">
        <v>160</v>
      </c>
      <c r="C26" s="341">
        <v>163</v>
      </c>
      <c r="D26" s="341">
        <f>+C26-B26</f>
        <v>3</v>
      </c>
      <c r="E26" s="302">
        <f>ROUND(C26/$C$32,2)</f>
        <v>0.14000000000000001</v>
      </c>
      <c r="F26" s="302">
        <f>ROUND(C26/'Pg 21 Inv_Schedule'!$B$17,2)</f>
        <v>0.02</v>
      </c>
    </row>
    <row r="27" spans="1:6" ht="15" x14ac:dyDescent="0.2">
      <c r="A27" s="105" t="s">
        <v>293</v>
      </c>
      <c r="B27" s="105">
        <v>222</v>
      </c>
      <c r="C27" s="105">
        <v>236</v>
      </c>
      <c r="D27" s="105">
        <f>+C27-B27</f>
        <v>14</v>
      </c>
      <c r="E27" s="302">
        <f>ROUND(C27/$C$32,2)</f>
        <v>0.2</v>
      </c>
      <c r="F27" s="302">
        <f>ROUND(C27/'Pg 21 Inv_Schedule'!$B$17,2)</f>
        <v>0.03</v>
      </c>
    </row>
    <row r="28" spans="1:6" ht="15" x14ac:dyDescent="0.2">
      <c r="A28" s="105" t="s">
        <v>33</v>
      </c>
      <c r="B28" s="105">
        <v>228</v>
      </c>
      <c r="C28" s="105">
        <v>247</v>
      </c>
      <c r="D28" s="105">
        <f>+C28-B28</f>
        <v>19</v>
      </c>
      <c r="E28" s="302">
        <f>ROUND(C28/$C$32,2)</f>
        <v>0.21</v>
      </c>
      <c r="F28" s="302">
        <f>ROUND(C28/'Pg 21 Inv_Schedule'!$B$17,2)</f>
        <v>0.03</v>
      </c>
    </row>
    <row r="29" spans="1:6" ht="17.25" x14ac:dyDescent="0.35">
      <c r="A29" s="105" t="s">
        <v>34</v>
      </c>
      <c r="B29" s="111">
        <v>295</v>
      </c>
      <c r="C29" s="111">
        <v>307</v>
      </c>
      <c r="D29" s="111">
        <f>+C29-B29</f>
        <v>12</v>
      </c>
      <c r="E29" s="364" t="str">
        <f>TEXT(+ROUND(C29/$C$32,3),"0%")</f>
        <v>26%</v>
      </c>
      <c r="F29" s="364" t="str">
        <f>TEXT(+ROUND(C29/'Pg 21 Inv_Schedule'!$B$17,3),"0%")</f>
        <v>3%</v>
      </c>
    </row>
    <row r="30" spans="1:6" ht="15" x14ac:dyDescent="0.2">
      <c r="A30" s="105" t="s">
        <v>294</v>
      </c>
      <c r="B30" s="112">
        <f>SUM(B26:B29)</f>
        <v>905</v>
      </c>
      <c r="C30" s="112">
        <f>SUM(C26:C29)</f>
        <v>953</v>
      </c>
      <c r="D30" s="112">
        <f>SUM(D26:D29)</f>
        <v>48</v>
      </c>
      <c r="E30" s="375" t="str">
        <f>TEXT(SUM(SUM(E26:E28)+ROUND(C29/$C$32,2)),"0%")</f>
        <v>81%</v>
      </c>
      <c r="F30" s="375" t="str">
        <f>TEXT(SUM(SUM(F26:F28)+ROUND(C29/'Pg 21 Inv_Schedule'!$B$17,2)),"0%")</f>
        <v>11%</v>
      </c>
    </row>
    <row r="31" spans="1:6" ht="17.25" x14ac:dyDescent="0.35">
      <c r="A31" s="105" t="s">
        <v>35</v>
      </c>
      <c r="B31" s="371">
        <v>214</v>
      </c>
      <c r="C31" s="371">
        <v>220</v>
      </c>
      <c r="D31" s="371">
        <f>+C31-B31</f>
        <v>6</v>
      </c>
      <c r="E31" s="364" t="str">
        <f>TEXT(+ROUND(C31/$C$32,3),"0%")</f>
        <v>19%</v>
      </c>
      <c r="F31" s="364" t="str">
        <f>TEXT(+ROUND(C31/'Pg 21 Inv_Schedule'!$B$17,3),"0%")</f>
        <v>2%</v>
      </c>
    </row>
    <row r="32" spans="1:6" s="5" customFormat="1" ht="18" x14ac:dyDescent="0.4">
      <c r="A32" s="106" t="s">
        <v>292</v>
      </c>
      <c r="B32" s="308">
        <f>SUM(B30:B31)</f>
        <v>1119</v>
      </c>
      <c r="C32" s="308">
        <f>SUM(C30:C31)</f>
        <v>1173</v>
      </c>
      <c r="D32" s="308">
        <f>SUM(D30:D31)</f>
        <v>54</v>
      </c>
      <c r="E32" s="376" t="str">
        <f>TEXT(SUM(SUM(E26:E28)+ROUND(C29/$C$32,2)+ROUND(C31/$C$32,2)),"0%")</f>
        <v>100%</v>
      </c>
      <c r="F32" s="376" t="str">
        <f>TEXT(SUM(SUM(F26:F28)+ROUND(C29/'Pg 21 Inv_Schedule'!$B$17,2)+ROUND(C31/'Pg 21 Inv_Schedule'!$B$17,2)),"0%")</f>
        <v>13%</v>
      </c>
    </row>
    <row r="33" spans="1:6" ht="7.5" customHeight="1" x14ac:dyDescent="0.2">
      <c r="A33" s="105"/>
      <c r="B33" s="105"/>
      <c r="C33" s="105"/>
      <c r="D33" s="105"/>
      <c r="F33" s="105"/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&amp;C26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39"/>
  <sheetViews>
    <sheetView zoomScale="85" zoomScaleNormal="85" workbookViewId="0"/>
  </sheetViews>
  <sheetFormatPr defaultRowHeight="12.75" x14ac:dyDescent="0.2"/>
  <cols>
    <col min="1" max="1" width="30.77734375" style="13" customWidth="1"/>
    <col min="2" max="6" width="12.77734375" style="13" customWidth="1"/>
    <col min="7" max="16384" width="8.88671875" style="13"/>
  </cols>
  <sheetData>
    <row r="1" spans="1:6" ht="18" x14ac:dyDescent="0.25">
      <c r="A1" s="131" t="str">
        <f>'Cover Page'!$H$10</f>
        <v>American Financial Group, Inc.</v>
      </c>
    </row>
    <row r="2" spans="1:6" ht="18" x14ac:dyDescent="0.25">
      <c r="A2" s="131" t="s">
        <v>191</v>
      </c>
      <c r="B2" s="14"/>
      <c r="C2" s="14"/>
      <c r="D2" s="14"/>
      <c r="E2" s="14"/>
      <c r="F2" s="14"/>
    </row>
    <row r="3" spans="1:6" ht="18" x14ac:dyDescent="0.25">
      <c r="A3" s="390" t="s">
        <v>398</v>
      </c>
      <c r="B3" s="14"/>
      <c r="C3" s="14"/>
      <c r="D3" s="14"/>
      <c r="E3" s="14"/>
      <c r="F3" s="14"/>
    </row>
    <row r="4" spans="1:6" ht="15" x14ac:dyDescent="0.2">
      <c r="A4" s="153" t="s">
        <v>14</v>
      </c>
      <c r="B4" s="14"/>
      <c r="C4" s="14"/>
      <c r="D4" s="14"/>
      <c r="E4" s="14"/>
      <c r="F4" s="14"/>
    </row>
    <row r="5" spans="1:6" ht="12.75" customHeight="1" x14ac:dyDescent="0.2"/>
    <row r="6" spans="1:6" ht="20.25" x14ac:dyDescent="0.55000000000000004">
      <c r="A6" s="112"/>
      <c r="B6" s="114" t="s">
        <v>260</v>
      </c>
      <c r="C6" s="114"/>
      <c r="D6" s="114"/>
      <c r="E6" s="114"/>
      <c r="F6" s="115"/>
    </row>
    <row r="7" spans="1:6" ht="15.75" x14ac:dyDescent="0.25">
      <c r="A7" s="112"/>
      <c r="B7" s="109" t="s">
        <v>21</v>
      </c>
      <c r="C7" s="109"/>
      <c r="D7" s="109" t="s">
        <v>11</v>
      </c>
      <c r="E7" s="109" t="s">
        <v>17</v>
      </c>
    </row>
    <row r="8" spans="1:6" ht="20.25" x14ac:dyDescent="0.55000000000000004">
      <c r="A8" s="115" t="s">
        <v>289</v>
      </c>
      <c r="B8" s="113" t="s">
        <v>12</v>
      </c>
      <c r="C8" s="113" t="s">
        <v>22</v>
      </c>
      <c r="D8" s="113" t="s">
        <v>13</v>
      </c>
      <c r="E8" s="113" t="s">
        <v>22</v>
      </c>
    </row>
    <row r="9" spans="1:6" ht="15" x14ac:dyDescent="0.2">
      <c r="A9" s="112" t="s">
        <v>243</v>
      </c>
      <c r="B9" s="112"/>
      <c r="C9" s="112"/>
      <c r="D9" s="112"/>
      <c r="E9" s="112"/>
    </row>
    <row r="10" spans="1:6" ht="15" x14ac:dyDescent="0.2">
      <c r="A10" s="112" t="s">
        <v>37</v>
      </c>
      <c r="B10" s="305">
        <v>2537</v>
      </c>
      <c r="C10" s="305">
        <v>2662</v>
      </c>
      <c r="D10" s="305">
        <f>+C10-B10</f>
        <v>125</v>
      </c>
      <c r="E10" s="302">
        <f>ROUND(C10/$C$19,2)</f>
        <v>0.43</v>
      </c>
    </row>
    <row r="11" spans="1:6" ht="15" x14ac:dyDescent="0.2">
      <c r="A11" s="112" t="s">
        <v>38</v>
      </c>
      <c r="B11" s="112">
        <v>276</v>
      </c>
      <c r="C11" s="112">
        <v>287</v>
      </c>
      <c r="D11" s="112">
        <f>+C11-B11</f>
        <v>11</v>
      </c>
      <c r="E11" s="302">
        <f>ROUND(C11/$C$19,2)-0.01</f>
        <v>0.04</v>
      </c>
    </row>
    <row r="12" spans="1:6" ht="15" x14ac:dyDescent="0.2">
      <c r="A12" s="112" t="s">
        <v>39</v>
      </c>
      <c r="B12" s="112">
        <v>405</v>
      </c>
      <c r="C12" s="112">
        <v>425</v>
      </c>
      <c r="D12" s="112">
        <f>+C12-B12</f>
        <v>20</v>
      </c>
      <c r="E12" s="302">
        <f>ROUND(C12/$C$19,2)</f>
        <v>7.0000000000000007E-2</v>
      </c>
    </row>
    <row r="13" spans="1:6" ht="17.25" x14ac:dyDescent="0.35">
      <c r="A13" s="112" t="s">
        <v>40</v>
      </c>
      <c r="B13" s="111">
        <v>222</v>
      </c>
      <c r="C13" s="111">
        <v>240</v>
      </c>
      <c r="D13" s="111">
        <f>+C13-B13</f>
        <v>18</v>
      </c>
      <c r="E13" s="364" t="str">
        <f>TEXT(+ROUND(C13/$C$19,3),"0%")</f>
        <v>4%</v>
      </c>
    </row>
    <row r="14" spans="1:6" ht="15" x14ac:dyDescent="0.2">
      <c r="A14" s="112" t="s">
        <v>262</v>
      </c>
      <c r="B14" s="112">
        <f>SUM(B10:B13)</f>
        <v>3440</v>
      </c>
      <c r="C14" s="112">
        <f>SUM(C10:C13)</f>
        <v>3614</v>
      </c>
      <c r="D14" s="112">
        <f>SUM(D10:D13)</f>
        <v>174</v>
      </c>
      <c r="E14" s="375" t="str">
        <f>TEXT(SUM(SUM(E10:E12)+ROUND(C13/$C$19,2)),"0%")</f>
        <v>58%</v>
      </c>
    </row>
    <row r="15" spans="1:6" ht="11.25" customHeight="1" x14ac:dyDescent="0.2">
      <c r="A15" s="112"/>
      <c r="B15" s="112"/>
      <c r="C15" s="112"/>
      <c r="D15" s="112"/>
      <c r="E15" s="306"/>
    </row>
    <row r="16" spans="1:6" ht="15" x14ac:dyDescent="0.2">
      <c r="A16" s="112" t="s">
        <v>41</v>
      </c>
      <c r="B16" s="112">
        <v>261</v>
      </c>
      <c r="C16" s="112">
        <v>267</v>
      </c>
      <c r="D16" s="112">
        <f>+C16-B16</f>
        <v>6</v>
      </c>
      <c r="E16" s="302">
        <f>ROUND(C16/$C$19,2)</f>
        <v>0.04</v>
      </c>
    </row>
    <row r="17" spans="1:6" ht="15" x14ac:dyDescent="0.2">
      <c r="A17" s="112" t="s">
        <v>42</v>
      </c>
      <c r="B17" s="112">
        <v>327</v>
      </c>
      <c r="C17" s="112">
        <v>334</v>
      </c>
      <c r="D17" s="112">
        <f>+C17-B17</f>
        <v>7</v>
      </c>
      <c r="E17" s="302">
        <f>ROUND(C17/$C$19,2)+0.01</f>
        <v>6.0000000000000005E-2</v>
      </c>
    </row>
    <row r="18" spans="1:6" ht="17.25" x14ac:dyDescent="0.35">
      <c r="A18" s="112" t="s">
        <v>43</v>
      </c>
      <c r="B18" s="111">
        <v>1703</v>
      </c>
      <c r="C18" s="111">
        <v>1967</v>
      </c>
      <c r="D18" s="111">
        <f>+C18-B18</f>
        <v>264</v>
      </c>
      <c r="E18" s="364" t="str">
        <f>TEXT(+ROUND(C18/$C$19,3),"0%")</f>
        <v>32%</v>
      </c>
    </row>
    <row r="19" spans="1:6" s="6" customFormat="1" ht="18" x14ac:dyDescent="0.4">
      <c r="A19" s="117" t="s">
        <v>4</v>
      </c>
      <c r="B19" s="308">
        <f>SUM(B14:B18)</f>
        <v>5731</v>
      </c>
      <c r="C19" s="308">
        <f>SUM(C14:C18)</f>
        <v>6182</v>
      </c>
      <c r="D19" s="308">
        <f>SUM(D14:D18)</f>
        <v>451</v>
      </c>
      <c r="E19" s="376" t="str">
        <f>TEXT(SUM(SUM(E10:E12)+ROUND(C13/$C$19,2)+SUM(E16:E17)+ROUND(C18/$C$19,2)),"0%")</f>
        <v>100%</v>
      </c>
    </row>
    <row r="20" spans="1:6" ht="15.75" customHeight="1" x14ac:dyDescent="0.2">
      <c r="A20" s="112"/>
      <c r="B20" s="112"/>
      <c r="C20" s="112"/>
      <c r="D20" s="112"/>
      <c r="E20" s="112"/>
      <c r="F20" s="112"/>
    </row>
    <row r="21" spans="1:6" ht="15" x14ac:dyDescent="0.2">
      <c r="A21" s="112" t="s">
        <v>135</v>
      </c>
      <c r="B21" s="116"/>
      <c r="C21" s="116"/>
      <c r="D21" s="116"/>
      <c r="E21" s="116"/>
      <c r="F21" s="116"/>
    </row>
    <row r="22" spans="1:6" ht="15" x14ac:dyDescent="0.2">
      <c r="A22" s="112" t="s">
        <v>136</v>
      </c>
      <c r="B22" s="112"/>
      <c r="C22" s="112"/>
      <c r="D22" s="112"/>
      <c r="E22" s="112"/>
      <c r="F22" s="112"/>
    </row>
    <row r="23" spans="1:6" ht="15.75" customHeight="1" x14ac:dyDescent="0.2">
      <c r="A23" s="112"/>
      <c r="B23" s="112"/>
      <c r="C23" s="112"/>
      <c r="D23" s="112"/>
      <c r="E23" s="112"/>
      <c r="F23" s="112"/>
    </row>
    <row r="24" spans="1:6" ht="15.75" customHeight="1" x14ac:dyDescent="0.2">
      <c r="A24" s="112"/>
      <c r="B24" s="112"/>
      <c r="C24" s="112"/>
      <c r="D24" s="112"/>
      <c r="E24" s="112"/>
      <c r="F24" s="112"/>
    </row>
    <row r="25" spans="1:6" ht="20.25" x14ac:dyDescent="0.55000000000000004">
      <c r="A25" s="112"/>
      <c r="B25" s="114" t="s">
        <v>261</v>
      </c>
      <c r="C25" s="114"/>
      <c r="D25" s="114"/>
      <c r="E25" s="114"/>
      <c r="F25" s="114"/>
    </row>
    <row r="26" spans="1:6" ht="15.75" x14ac:dyDescent="0.25">
      <c r="A26" s="117" t="s">
        <v>45</v>
      </c>
      <c r="B26" s="109" t="s">
        <v>46</v>
      </c>
      <c r="C26" s="109" t="s">
        <v>202</v>
      </c>
      <c r="D26" s="109" t="s">
        <v>21</v>
      </c>
      <c r="E26" s="109"/>
      <c r="F26" s="109" t="s">
        <v>11</v>
      </c>
    </row>
    <row r="27" spans="1:6" ht="20.25" x14ac:dyDescent="0.55000000000000004">
      <c r="A27" s="118" t="s">
        <v>290</v>
      </c>
      <c r="B27" s="113" t="s">
        <v>47</v>
      </c>
      <c r="C27" s="113" t="s">
        <v>47</v>
      </c>
      <c r="D27" s="113" t="s">
        <v>12</v>
      </c>
      <c r="E27" s="113" t="s">
        <v>22</v>
      </c>
      <c r="F27" s="113" t="s">
        <v>13</v>
      </c>
    </row>
    <row r="28" spans="1:6" ht="15" x14ac:dyDescent="0.2">
      <c r="A28" s="119" t="s">
        <v>128</v>
      </c>
      <c r="B28" s="305">
        <v>5472</v>
      </c>
      <c r="C28" s="302">
        <v>0.97</v>
      </c>
      <c r="D28" s="305">
        <v>5473</v>
      </c>
      <c r="E28" s="305">
        <v>5943</v>
      </c>
      <c r="F28" s="305">
        <f>+E28-D28</f>
        <v>470</v>
      </c>
    </row>
    <row r="29" spans="1:6" ht="17.25" x14ac:dyDescent="0.35">
      <c r="A29" s="119" t="s">
        <v>129</v>
      </c>
      <c r="B29" s="111">
        <v>58</v>
      </c>
      <c r="C29" s="364" t="s">
        <v>402</v>
      </c>
      <c r="D29" s="111">
        <v>58</v>
      </c>
      <c r="E29" s="111">
        <v>59</v>
      </c>
      <c r="F29" s="111">
        <f>+E29-D29</f>
        <v>1</v>
      </c>
    </row>
    <row r="30" spans="1:6" ht="15" x14ac:dyDescent="0.2">
      <c r="A30" s="119"/>
      <c r="B30" s="112">
        <f>SUM(B28:B29)</f>
        <v>5530</v>
      </c>
      <c r="C30" s="375" t="str">
        <f>TEXT(SUM(C28+ROUND(B29/$B$36,2)),"0%")</f>
        <v>98%</v>
      </c>
      <c r="D30" s="112">
        <f>SUM(D28:D29)</f>
        <v>5531</v>
      </c>
      <c r="E30" s="112">
        <f>SUM(E28:E29)</f>
        <v>6002</v>
      </c>
      <c r="F30" s="112">
        <f>SUM(F28:F29)</f>
        <v>471</v>
      </c>
    </row>
    <row r="31" spans="1:6" ht="11.25" customHeight="1" x14ac:dyDescent="0.2">
      <c r="A31" s="120"/>
      <c r="B31" s="112"/>
      <c r="C31" s="306"/>
      <c r="D31" s="112"/>
      <c r="E31" s="112"/>
      <c r="F31" s="112"/>
    </row>
    <row r="32" spans="1:6" ht="15" x14ac:dyDescent="0.2">
      <c r="A32" s="119" t="s">
        <v>130</v>
      </c>
      <c r="B32" s="112">
        <v>49</v>
      </c>
      <c r="C32" s="302">
        <v>0.01</v>
      </c>
      <c r="D32" s="112">
        <v>49</v>
      </c>
      <c r="E32" s="112">
        <v>51</v>
      </c>
      <c r="F32" s="112">
        <f>+E32-D32</f>
        <v>2</v>
      </c>
    </row>
    <row r="33" spans="1:6" ht="15" x14ac:dyDescent="0.2">
      <c r="A33" s="119" t="s">
        <v>131</v>
      </c>
      <c r="B33" s="112">
        <v>56</v>
      </c>
      <c r="C33" s="302">
        <v>0.01</v>
      </c>
      <c r="D33" s="112">
        <v>56</v>
      </c>
      <c r="E33" s="112">
        <v>59</v>
      </c>
      <c r="F33" s="112">
        <f>+E33-D33</f>
        <v>3</v>
      </c>
    </row>
    <row r="34" spans="1:6" ht="15" x14ac:dyDescent="0.2">
      <c r="A34" s="119" t="s">
        <v>132</v>
      </c>
      <c r="B34" s="112">
        <v>18</v>
      </c>
      <c r="C34" s="302">
        <v>0</v>
      </c>
      <c r="D34" s="112">
        <v>18</v>
      </c>
      <c r="E34" s="112">
        <v>29</v>
      </c>
      <c r="F34" s="112">
        <f>+E34-D34</f>
        <v>11</v>
      </c>
    </row>
    <row r="35" spans="1:6" ht="17.25" x14ac:dyDescent="0.35">
      <c r="A35" s="119" t="s">
        <v>133</v>
      </c>
      <c r="B35" s="111">
        <v>2</v>
      </c>
      <c r="C35" s="364" t="s">
        <v>171</v>
      </c>
      <c r="D35" s="111">
        <v>2</v>
      </c>
      <c r="E35" s="111">
        <v>16</v>
      </c>
      <c r="F35" s="111">
        <f>+E35-D35</f>
        <v>14</v>
      </c>
    </row>
    <row r="36" spans="1:6" s="6" customFormat="1" ht="18" x14ac:dyDescent="0.4">
      <c r="A36" s="117" t="s">
        <v>4</v>
      </c>
      <c r="B36" s="308">
        <f>SUM(B30:B35)</f>
        <v>5655</v>
      </c>
      <c r="C36" s="376" t="str">
        <f>TEXT(SUM(C28+ROUND(B29/$B$36,2)+SUM(C32:C34)+ROUND(B35/$B$36,2)),"0%")</f>
        <v>100%</v>
      </c>
      <c r="D36" s="308">
        <f>SUM(D30:D35)</f>
        <v>5656</v>
      </c>
      <c r="E36" s="308">
        <f>SUM(E30:E35)</f>
        <v>6157</v>
      </c>
      <c r="F36" s="308">
        <f>SUM(F30:F35)</f>
        <v>501</v>
      </c>
    </row>
    <row r="37" spans="1:6" ht="9.75" customHeight="1" x14ac:dyDescent="0.2">
      <c r="C37" s="307"/>
    </row>
    <row r="38" spans="1:6" ht="15" customHeight="1" x14ac:dyDescent="0.2"/>
    <row r="39" spans="1:6" ht="15" customHeight="1" x14ac:dyDescent="0.2"/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&amp;C27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8"/>
  <sheetViews>
    <sheetView zoomScale="85" zoomScaleNormal="85" workbookViewId="0"/>
  </sheetViews>
  <sheetFormatPr defaultRowHeight="15" x14ac:dyDescent="0.2"/>
  <cols>
    <col min="1" max="1" width="50.88671875" style="52" customWidth="1"/>
    <col min="2" max="2" width="10.88671875" style="52" hidden="1" customWidth="1"/>
    <col min="3" max="4" width="10.88671875" style="52" customWidth="1"/>
    <col min="5" max="7" width="10.77734375" style="52" customWidth="1"/>
    <col min="8" max="9" width="10.77734375" style="52" hidden="1" customWidth="1"/>
    <col min="10" max="10" width="1.77734375" style="52" customWidth="1"/>
    <col min="11" max="12" width="10.88671875" style="52" hidden="1" customWidth="1"/>
    <col min="13" max="13" width="1.77734375" style="52" hidden="1" customWidth="1"/>
    <col min="14" max="15" width="10.88671875" style="52" customWidth="1"/>
    <col min="16" max="16" width="1.77734375" style="52" hidden="1" customWidth="1"/>
    <col min="17" max="17" width="10.88671875" style="52" hidden="1" customWidth="1"/>
    <col min="18" max="19" width="10.77734375" style="52" hidden="1" customWidth="1"/>
    <col min="20" max="16384" width="8.88671875" style="52"/>
  </cols>
  <sheetData>
    <row r="1" spans="1:20" ht="18" x14ac:dyDescent="0.25">
      <c r="A1" s="173" t="str">
        <f>'Cover Page'!$H$10</f>
        <v>American Financial Group, Inc.</v>
      </c>
    </row>
    <row r="2" spans="1:20" ht="18" x14ac:dyDescent="0.25">
      <c r="A2" s="173" t="s">
        <v>59</v>
      </c>
    </row>
    <row r="3" spans="1:20" x14ac:dyDescent="0.2">
      <c r="A3" s="16" t="s">
        <v>173</v>
      </c>
    </row>
    <row r="5" spans="1:20" ht="15.75" x14ac:dyDescent="0.25">
      <c r="B5" s="145" t="s">
        <v>2</v>
      </c>
      <c r="C5" s="145" t="s">
        <v>2</v>
      </c>
      <c r="D5" s="145"/>
      <c r="E5" s="145"/>
      <c r="F5" s="146"/>
      <c r="G5" s="146"/>
      <c r="H5" s="146"/>
      <c r="I5" s="146"/>
      <c r="J5" s="87"/>
      <c r="K5" s="145" t="s">
        <v>6</v>
      </c>
      <c r="L5" s="146"/>
      <c r="M5" s="21"/>
      <c r="N5" s="145" t="s">
        <v>7</v>
      </c>
      <c r="O5" s="146"/>
      <c r="P5" s="87"/>
      <c r="Q5" s="145" t="s">
        <v>3</v>
      </c>
      <c r="R5" s="145" t="s">
        <v>3</v>
      </c>
      <c r="S5" s="146"/>
    </row>
    <row r="6" spans="1:20" ht="20.25" x14ac:dyDescent="0.55000000000000004">
      <c r="A6" s="309"/>
      <c r="B6" s="69" t="s">
        <v>384</v>
      </c>
      <c r="C6" s="69" t="s">
        <v>385</v>
      </c>
      <c r="D6" s="69" t="s">
        <v>386</v>
      </c>
      <c r="E6" s="69" t="s">
        <v>387</v>
      </c>
      <c r="F6" s="69" t="s">
        <v>322</v>
      </c>
      <c r="G6" s="69" t="s">
        <v>323</v>
      </c>
      <c r="H6" s="69" t="s">
        <v>324</v>
      </c>
      <c r="I6" s="69" t="s">
        <v>325</v>
      </c>
      <c r="J6" s="87"/>
      <c r="K6" s="69" t="s">
        <v>386</v>
      </c>
      <c r="L6" s="69" t="s">
        <v>324</v>
      </c>
      <c r="M6" s="21"/>
      <c r="N6" s="69" t="s">
        <v>385</v>
      </c>
      <c r="O6" s="69" t="s">
        <v>323</v>
      </c>
      <c r="P6" s="70"/>
      <c r="Q6" s="69" t="s">
        <v>384</v>
      </c>
      <c r="R6" s="69" t="s">
        <v>322</v>
      </c>
      <c r="S6" s="69" t="s">
        <v>117</v>
      </c>
    </row>
    <row r="7" spans="1:20" x14ac:dyDescent="0.2">
      <c r="B7" s="17"/>
      <c r="C7" s="17"/>
      <c r="D7" s="17"/>
      <c r="E7" s="17"/>
      <c r="F7" s="17"/>
      <c r="G7" s="17"/>
      <c r="H7" s="17"/>
      <c r="I7" s="17"/>
      <c r="J7" s="17"/>
      <c r="M7" s="17"/>
      <c r="P7" s="17"/>
    </row>
    <row r="8" spans="1:20" ht="7.5" customHeight="1" x14ac:dyDescent="0.2">
      <c r="A8" s="310"/>
      <c r="B8" s="311"/>
      <c r="C8" s="311"/>
      <c r="D8" s="311"/>
      <c r="E8" s="311"/>
      <c r="F8" s="311"/>
      <c r="G8" s="311"/>
      <c r="H8" s="311"/>
      <c r="I8" s="311"/>
      <c r="J8" s="311"/>
      <c r="K8" s="79"/>
      <c r="L8" s="79"/>
      <c r="M8" s="311"/>
      <c r="N8" s="79"/>
      <c r="O8" s="79"/>
      <c r="P8" s="311"/>
      <c r="Q8" s="79"/>
      <c r="R8" s="79"/>
      <c r="S8" s="80"/>
      <c r="T8" s="456"/>
    </row>
    <row r="9" spans="1:20" ht="15.75" x14ac:dyDescent="0.25">
      <c r="A9" s="312" t="s">
        <v>113</v>
      </c>
      <c r="B9" s="18"/>
      <c r="C9" s="18"/>
      <c r="D9" s="18"/>
      <c r="E9" s="18"/>
      <c r="F9" s="18"/>
      <c r="G9" s="18"/>
      <c r="H9" s="18"/>
      <c r="I9" s="18"/>
      <c r="J9" s="18"/>
      <c r="K9" s="73"/>
      <c r="L9" s="73"/>
      <c r="M9" s="18"/>
      <c r="N9" s="73"/>
      <c r="O9" s="73"/>
      <c r="P9" s="18"/>
      <c r="Q9" s="73"/>
      <c r="R9" s="73"/>
      <c r="S9" s="74"/>
      <c r="T9" s="456"/>
    </row>
    <row r="10" spans="1:20" x14ac:dyDescent="0.2">
      <c r="A10" s="313" t="s">
        <v>69</v>
      </c>
      <c r="B10" s="71">
        <f>'Pg 4 Earnings'!B21</f>
        <v>-350</v>
      </c>
      <c r="C10" s="71">
        <f>'Pg 4 Earnings'!C21</f>
        <v>123</v>
      </c>
      <c r="D10" s="471">
        <f>'Pg 4 Earnings'!D21</f>
        <v>115</v>
      </c>
      <c r="E10" s="71">
        <f>'Pg 4 Earnings'!E21</f>
        <v>112</v>
      </c>
      <c r="F10" s="71">
        <f>'Pg 4 Earnings'!F21</f>
        <v>122</v>
      </c>
      <c r="G10" s="71">
        <f>'Pg 4 Earnings'!G21</f>
        <v>127</v>
      </c>
      <c r="H10" s="71">
        <f>'Pg 4 Earnings'!H21</f>
        <v>99</v>
      </c>
      <c r="I10" s="71">
        <f>'Pg 4 Earnings'!I21</f>
        <v>91</v>
      </c>
      <c r="J10" s="71"/>
      <c r="K10" s="71">
        <f>'Pg 4 Earnings'!K21</f>
        <v>227</v>
      </c>
      <c r="L10" s="71">
        <f>'Pg 4 Earnings'!L21</f>
        <v>190</v>
      </c>
      <c r="M10" s="71"/>
      <c r="N10" s="71">
        <f>'Pg 4 Earnings'!N21</f>
        <v>350</v>
      </c>
      <c r="O10" s="71">
        <f>'Pg 4 Earnings'!O21</f>
        <v>317</v>
      </c>
      <c r="P10" s="71"/>
      <c r="Q10" s="71">
        <f>'Pg 4 Earnings'!Q21</f>
        <v>0</v>
      </c>
      <c r="R10" s="71">
        <f>'Pg 4 Earnings'!R21</f>
        <v>439</v>
      </c>
      <c r="S10" s="72">
        <f>'Pg 4 Earnings'!S21</f>
        <v>385</v>
      </c>
      <c r="T10" s="456"/>
    </row>
    <row r="11" spans="1:20" x14ac:dyDescent="0.2">
      <c r="A11" s="313" t="s">
        <v>148</v>
      </c>
      <c r="B11" s="73">
        <f>'Pg 4 Earnings'!B32</f>
        <v>-223</v>
      </c>
      <c r="C11" s="143">
        <f>'Pg 4 Earnings'!C32</f>
        <v>63</v>
      </c>
      <c r="D11" s="96">
        <f>'Pg 4 Earnings'!D32</f>
        <v>141</v>
      </c>
      <c r="E11" s="143">
        <f>'Pg 4 Earnings'!E32</f>
        <v>19</v>
      </c>
      <c r="F11" s="143">
        <f>'Pg 4 Earnings'!F32</f>
        <v>127</v>
      </c>
      <c r="G11" s="143">
        <f>'Pg 4 Earnings'!G32</f>
        <v>116</v>
      </c>
      <c r="H11" s="143">
        <f>'Pg 4 Earnings'!H32</f>
        <v>106</v>
      </c>
      <c r="I11" s="143">
        <f>'Pg 4 Earnings'!I32</f>
        <v>103</v>
      </c>
      <c r="J11" s="143"/>
      <c r="K11" s="143">
        <f>'Pg 4 Earnings'!K32</f>
        <v>160</v>
      </c>
      <c r="L11" s="143">
        <f>'Pg 4 Earnings'!L32</f>
        <v>209</v>
      </c>
      <c r="M11" s="143"/>
      <c r="N11" s="143">
        <f>'Pg 4 Earnings'!N32</f>
        <v>223</v>
      </c>
      <c r="O11" s="143">
        <f>'Pg 4 Earnings'!O32</f>
        <v>325</v>
      </c>
      <c r="P11" s="73"/>
      <c r="Q11" s="73">
        <f>'Pg 4 Earnings'!Q32</f>
        <v>0</v>
      </c>
      <c r="R11" s="73">
        <f>'Pg 4 Earnings'!R32</f>
        <v>452</v>
      </c>
      <c r="S11" s="74">
        <f>'Pg 4 Earnings'!S32</f>
        <v>471</v>
      </c>
      <c r="T11" s="456"/>
    </row>
    <row r="12" spans="1:20" x14ac:dyDescent="0.2">
      <c r="A12" s="313" t="s">
        <v>80</v>
      </c>
      <c r="B12" s="73">
        <f>'Pg 17 Balance Sheet'!B17</f>
        <v>0</v>
      </c>
      <c r="C12" s="143">
        <f>'Pg 17 Balance Sheet'!C17</f>
        <v>50557</v>
      </c>
      <c r="D12" s="96">
        <f>'Pg 17 Balance Sheet'!D17</f>
        <v>49424</v>
      </c>
      <c r="E12" s="143">
        <f>'Pg 17 Balance Sheet'!E17</f>
        <v>48307</v>
      </c>
      <c r="F12" s="143">
        <f>'Pg 17 Balance Sheet'!F17</f>
        <v>47535</v>
      </c>
      <c r="G12" s="143">
        <f>'Pg 17 Balance Sheet'!G17</f>
        <v>46552</v>
      </c>
      <c r="H12" s="143">
        <f>'Pg 17 Balance Sheet'!H17</f>
        <v>45355</v>
      </c>
      <c r="I12" s="143">
        <f>'Pg 17 Balance Sheet'!I17</f>
        <v>42770</v>
      </c>
      <c r="J12" s="143"/>
      <c r="K12" s="96">
        <f>D12</f>
        <v>49424</v>
      </c>
      <c r="L12" s="143">
        <f>H12</f>
        <v>45355</v>
      </c>
      <c r="M12" s="143"/>
      <c r="N12" s="143">
        <f>C12</f>
        <v>50557</v>
      </c>
      <c r="O12" s="143">
        <f>G12</f>
        <v>46552</v>
      </c>
      <c r="P12" s="73"/>
      <c r="Q12" s="73">
        <f>B12</f>
        <v>0</v>
      </c>
      <c r="R12" s="73">
        <f>F12</f>
        <v>47535</v>
      </c>
      <c r="S12" s="74">
        <f>'Pg 17 Balance Sheet'!J17</f>
        <v>42087</v>
      </c>
      <c r="T12" s="456"/>
    </row>
    <row r="13" spans="1:20" x14ac:dyDescent="0.2">
      <c r="A13" s="313" t="s">
        <v>207</v>
      </c>
      <c r="B13" s="73">
        <f>'Pg 18 Book Value'!B11</f>
        <v>0</v>
      </c>
      <c r="C13" s="143">
        <f>'Pg 18 Book Value'!C11</f>
        <v>4279</v>
      </c>
      <c r="D13" s="96">
        <f>'Pg 18 Book Value'!D11</f>
        <v>4345</v>
      </c>
      <c r="E13" s="143">
        <f>'Pg 18 Book Value'!E11</f>
        <v>4267</v>
      </c>
      <c r="F13" s="143">
        <f>'Pg 18 Book Value'!F11</f>
        <v>4277</v>
      </c>
      <c r="G13" s="143">
        <f>'Pg 18 Book Value'!G11</f>
        <v>4300</v>
      </c>
      <c r="H13" s="143">
        <f>'Pg 18 Book Value'!H11</f>
        <v>4298</v>
      </c>
      <c r="I13" s="143">
        <f>'Pg 18 Book Value'!I11</f>
        <v>4191</v>
      </c>
      <c r="J13" s="143"/>
      <c r="K13" s="143">
        <f>D13</f>
        <v>4345</v>
      </c>
      <c r="L13" s="143">
        <f>H13</f>
        <v>4298</v>
      </c>
      <c r="M13" s="143"/>
      <c r="N13" s="143">
        <f>C13</f>
        <v>4279</v>
      </c>
      <c r="O13" s="143">
        <f>G13</f>
        <v>4300</v>
      </c>
      <c r="P13" s="73"/>
      <c r="Q13" s="73">
        <f>B13</f>
        <v>0</v>
      </c>
      <c r="R13" s="73">
        <f>F13</f>
        <v>4277</v>
      </c>
      <c r="S13" s="74">
        <f>'Pg 18 Book Value'!J11</f>
        <v>4109</v>
      </c>
      <c r="T13" s="456"/>
    </row>
    <row r="14" spans="1:20" x14ac:dyDescent="0.2">
      <c r="A14" s="313" t="s">
        <v>271</v>
      </c>
      <c r="B14" s="73">
        <f>'Pg 7 P&amp;C_Specialty_UW'!B10</f>
        <v>-3271</v>
      </c>
      <c r="C14" s="143">
        <f>'Pg 7 P&amp;C_Specialty_UW'!C10</f>
        <v>1319</v>
      </c>
      <c r="D14" s="96">
        <f>'Pg 7 P&amp;C_Specialty_UW'!D10</f>
        <v>1026</v>
      </c>
      <c r="E14" s="143">
        <f>'Pg 7 P&amp;C_Specialty_UW'!E10</f>
        <v>926</v>
      </c>
      <c r="F14" s="143">
        <f>'Pg 7 P&amp;C_Specialty_UW'!F10</f>
        <v>1025</v>
      </c>
      <c r="G14" s="143">
        <f>'Pg 7 P&amp;C_Specialty_UW'!G10</f>
        <v>1242</v>
      </c>
      <c r="H14" s="143">
        <f>'Pg 7 P&amp;C_Specialty_UW'!H10</f>
        <v>998</v>
      </c>
      <c r="I14" s="143">
        <f>'Pg 7 P&amp;C_Specialty_UW'!I10</f>
        <v>755</v>
      </c>
      <c r="J14" s="143"/>
      <c r="K14" s="143">
        <f>'Pg 7 P&amp;C_Specialty_UW'!K10</f>
        <v>1952</v>
      </c>
      <c r="L14" s="143">
        <f>'Pg 7 P&amp;C_Specialty_UW'!L10</f>
        <v>1753</v>
      </c>
      <c r="M14" s="143"/>
      <c r="N14" s="143">
        <f>'Pg 7 P&amp;C_Specialty_UW'!N10</f>
        <v>3271</v>
      </c>
      <c r="O14" s="143">
        <f>'Pg 7 P&amp;C_Specialty_UW'!O10</f>
        <v>2995</v>
      </c>
      <c r="P14" s="73"/>
      <c r="Q14" s="73">
        <f>'Pg 7 P&amp;C_Specialty_UW'!Q10</f>
        <v>0</v>
      </c>
      <c r="R14" s="73">
        <f>'Pg 7 P&amp;C_Specialty_UW'!R10</f>
        <v>4020</v>
      </c>
      <c r="S14" s="74">
        <f>'Pg 7 P&amp;C_Specialty_UW'!S10</f>
        <v>3341</v>
      </c>
      <c r="T14" s="456"/>
    </row>
    <row r="15" spans="1:20" x14ac:dyDescent="0.2">
      <c r="A15" s="313" t="s">
        <v>116</v>
      </c>
      <c r="B15" s="73">
        <f>'Pg 15 Annuity STAT Premiums'!B16</f>
        <v>-3033</v>
      </c>
      <c r="C15" s="143">
        <f>'Pg 15 Annuity STAT Premiums'!C16</f>
        <v>1321</v>
      </c>
      <c r="D15" s="96">
        <f>'Pg 15 Annuity STAT Premiums'!D16</f>
        <v>899</v>
      </c>
      <c r="E15" s="143">
        <f>'Pg 15 Annuity STAT Premiums'!E16</f>
        <v>813</v>
      </c>
      <c r="F15" s="143">
        <f>'Pg 15 Annuity STAT Premiums'!F16</f>
        <v>971</v>
      </c>
      <c r="G15" s="143">
        <f>'Pg 15 Annuity STAT Premiums'!G16</f>
        <v>809</v>
      </c>
      <c r="H15" s="143">
        <f>'Pg 15 Annuity STAT Premiums'!H16</f>
        <v>949</v>
      </c>
      <c r="I15" s="143">
        <f>'Pg 15 Annuity STAT Premiums'!I16</f>
        <v>967</v>
      </c>
      <c r="J15" s="143"/>
      <c r="K15" s="143">
        <f>'Pg 15 Annuity STAT Premiums'!K16</f>
        <v>1712</v>
      </c>
      <c r="L15" s="143">
        <f>'Pg 15 Annuity STAT Premiums'!L16</f>
        <v>1916</v>
      </c>
      <c r="M15" s="143"/>
      <c r="N15" s="143">
        <f>'Pg 15 Annuity STAT Premiums'!N16</f>
        <v>3033</v>
      </c>
      <c r="O15" s="143">
        <f>'Pg 15 Annuity STAT Premiums'!O16</f>
        <v>2725</v>
      </c>
      <c r="P15" s="73"/>
      <c r="Q15" s="73">
        <f>'Pg 15 Annuity STAT Premiums'!Q16</f>
        <v>0</v>
      </c>
      <c r="R15" s="73">
        <f>'Pg 15 Annuity STAT Premiums'!R16</f>
        <v>3696</v>
      </c>
      <c r="S15" s="74">
        <f>'Pg 15 Annuity STAT Premiums'!S16</f>
        <v>4033</v>
      </c>
      <c r="T15" s="456"/>
    </row>
    <row r="16" spans="1:20" ht="7.5" customHeight="1" x14ac:dyDescent="0.2">
      <c r="A16" s="314"/>
      <c r="B16" s="81"/>
      <c r="C16" s="494"/>
      <c r="D16" s="406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81"/>
      <c r="Q16" s="81"/>
      <c r="R16" s="81"/>
      <c r="S16" s="82"/>
      <c r="T16" s="456"/>
    </row>
    <row r="17" spans="1:20" x14ac:dyDescent="0.2">
      <c r="A17" s="315"/>
      <c r="C17" s="144"/>
      <c r="D17" s="47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20" ht="7.5" customHeight="1" x14ac:dyDescent="0.2">
      <c r="A18" s="316"/>
      <c r="B18" s="79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79"/>
      <c r="Q18" s="79"/>
      <c r="R18" s="79"/>
      <c r="S18" s="80"/>
      <c r="T18" s="456"/>
    </row>
    <row r="19" spans="1:20" ht="15.75" x14ac:dyDescent="0.25">
      <c r="A19" s="317" t="s">
        <v>114</v>
      </c>
      <c r="B19" s="7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73"/>
      <c r="Q19" s="73"/>
      <c r="R19" s="73"/>
      <c r="S19" s="74"/>
      <c r="T19" s="456"/>
    </row>
    <row r="20" spans="1:20" x14ac:dyDescent="0.2">
      <c r="A20" s="313" t="s">
        <v>63</v>
      </c>
      <c r="B20" s="75">
        <f>'Pg 5 Earnings Per Share'!B15</f>
        <v>0</v>
      </c>
      <c r="C20" s="496">
        <f>'Pg 5 Earnings Per Share'!C15</f>
        <v>1.38</v>
      </c>
      <c r="D20" s="497">
        <f>'Pg 5 Earnings Per Share'!D15</f>
        <v>1.28</v>
      </c>
      <c r="E20" s="496">
        <f>'Pg 5 Earnings Per Share'!E15</f>
        <v>1.25</v>
      </c>
      <c r="F20" s="496">
        <f>'Pg 5 Earnings Per Share'!F15</f>
        <v>1.35</v>
      </c>
      <c r="G20" s="496">
        <f>'Pg 5 Earnings Per Share'!G15</f>
        <v>1.4</v>
      </c>
      <c r="H20" s="496">
        <f>'Pg 5 Earnings Per Share'!H15</f>
        <v>1.07</v>
      </c>
      <c r="I20" s="496">
        <f>'Pg 5 Earnings Per Share'!I15</f>
        <v>1</v>
      </c>
      <c r="J20" s="496"/>
      <c r="K20" s="496">
        <f>'Pg 5 Earnings Per Share'!K15</f>
        <v>2.54</v>
      </c>
      <c r="L20" s="496">
        <f>'Pg 5 Earnings Per Share'!L15</f>
        <v>2.0699999999999998</v>
      </c>
      <c r="M20" s="496"/>
      <c r="N20" s="496">
        <f>'Pg 5 Earnings Per Share'!N15</f>
        <v>3.92</v>
      </c>
      <c r="O20" s="496">
        <f>'Pg 5 Earnings Per Share'!O15</f>
        <v>3.47</v>
      </c>
      <c r="P20" s="75"/>
      <c r="Q20" s="75">
        <f>'Pg 5 Earnings Per Share'!Q15</f>
        <v>0</v>
      </c>
      <c r="R20" s="75">
        <f>'Pg 5 Earnings Per Share'!R15</f>
        <v>4.82</v>
      </c>
      <c r="S20" s="76">
        <f>'Pg 5 Earnings Per Share'!S15</f>
        <v>4.22</v>
      </c>
      <c r="T20" s="456"/>
    </row>
    <row r="21" spans="1:20" x14ac:dyDescent="0.2">
      <c r="A21" s="313" t="s">
        <v>64</v>
      </c>
      <c r="B21" s="77">
        <f>'Pg 5 Earnings Per Share'!B25</f>
        <v>0</v>
      </c>
      <c r="C21" s="498">
        <f>'Pg 5 Earnings Per Share'!C25</f>
        <v>0.70999999999999985</v>
      </c>
      <c r="D21" s="499">
        <f>'Pg 5 Earnings Per Share'!D25</f>
        <v>1.57</v>
      </c>
      <c r="E21" s="498">
        <f>'Pg 5 Earnings Per Share'!E25</f>
        <v>0.21000000000000008</v>
      </c>
      <c r="F21" s="498">
        <f>'Pg 5 Earnings Per Share'!F25</f>
        <v>1.4100000000000001</v>
      </c>
      <c r="G21" s="498">
        <f>'Pg 5 Earnings Per Share'!G25</f>
        <v>1.28</v>
      </c>
      <c r="H21" s="498">
        <f>'Pg 5 Earnings Per Share'!H25</f>
        <v>1.1500000000000001</v>
      </c>
      <c r="I21" s="498">
        <f>'Pg 5 Earnings Per Share'!I25</f>
        <v>1.1299999999999999</v>
      </c>
      <c r="J21" s="498"/>
      <c r="K21" s="498">
        <f>'Pg 5 Earnings Per Share'!K25</f>
        <v>1.79</v>
      </c>
      <c r="L21" s="498">
        <f>'Pg 5 Earnings Per Share'!L25</f>
        <v>2.2799999999999998</v>
      </c>
      <c r="M21" s="498"/>
      <c r="N21" s="498">
        <f>'Pg 5 Earnings Per Share'!N25</f>
        <v>2.4900000000000007</v>
      </c>
      <c r="O21" s="498">
        <f>'Pg 5 Earnings Per Share'!O25</f>
        <v>3.56</v>
      </c>
      <c r="P21" s="77"/>
      <c r="Q21" s="77">
        <f>'Pg 5 Earnings Per Share'!Q25</f>
        <v>0</v>
      </c>
      <c r="R21" s="77">
        <f>'Pg 5 Earnings Per Share'!R25</f>
        <v>4.9700000000000006</v>
      </c>
      <c r="S21" s="78">
        <f>'Pg 5 Earnings Per Share'!S25</f>
        <v>5.16</v>
      </c>
      <c r="T21" s="456"/>
    </row>
    <row r="22" spans="1:20" x14ac:dyDescent="0.2">
      <c r="A22" s="313" t="s">
        <v>208</v>
      </c>
      <c r="B22" s="77">
        <f>'Pg 18 Book Value'!B20</f>
        <v>0</v>
      </c>
      <c r="C22" s="498">
        <f>'Pg 18 Book Value'!C20</f>
        <v>49.01</v>
      </c>
      <c r="D22" s="499">
        <f>'Pg 18 Book Value'!D20</f>
        <v>49.63</v>
      </c>
      <c r="E22" s="498">
        <f>'Pg 18 Book Value'!E20</f>
        <v>48.55</v>
      </c>
      <c r="F22" s="498">
        <f>'Pg 18 Book Value'!F20</f>
        <v>48.76</v>
      </c>
      <c r="G22" s="498">
        <f>'Pg 18 Book Value'!G20</f>
        <v>48.59</v>
      </c>
      <c r="H22" s="498">
        <f>'Pg 18 Book Value'!H20</f>
        <v>47.95</v>
      </c>
      <c r="I22" s="498">
        <f>'Pg 18 Book Value'!I20</f>
        <v>46.79</v>
      </c>
      <c r="J22" s="498"/>
      <c r="K22" s="498">
        <f>D22</f>
        <v>49.63</v>
      </c>
      <c r="L22" s="498">
        <f>H22</f>
        <v>47.95</v>
      </c>
      <c r="M22" s="498"/>
      <c r="N22" s="498">
        <f>C22</f>
        <v>49.01</v>
      </c>
      <c r="O22" s="498">
        <f>G22</f>
        <v>48.59</v>
      </c>
      <c r="P22" s="77"/>
      <c r="Q22" s="77">
        <f>B22</f>
        <v>0</v>
      </c>
      <c r="R22" s="77">
        <f>F22</f>
        <v>48.76</v>
      </c>
      <c r="S22" s="78">
        <f>'Pg 18 Book Value'!J20</f>
        <v>45.9</v>
      </c>
      <c r="T22" s="456"/>
    </row>
    <row r="23" spans="1:20" x14ac:dyDescent="0.2">
      <c r="A23" s="313"/>
      <c r="B23" s="77"/>
      <c r="C23" s="498"/>
      <c r="D23" s="499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77"/>
      <c r="Q23" s="77"/>
      <c r="R23" s="77"/>
      <c r="S23" s="78"/>
      <c r="T23" s="456"/>
    </row>
    <row r="24" spans="1:20" x14ac:dyDescent="0.2">
      <c r="A24" s="313" t="s">
        <v>246</v>
      </c>
      <c r="B24" s="442">
        <v>0</v>
      </c>
      <c r="C24" s="500">
        <v>0.25</v>
      </c>
      <c r="D24" s="500">
        <v>0.25</v>
      </c>
      <c r="E24" s="500">
        <v>0.25</v>
      </c>
      <c r="F24" s="501">
        <v>1.25</v>
      </c>
      <c r="G24" s="500">
        <v>0.22</v>
      </c>
      <c r="H24" s="500">
        <v>0.22</v>
      </c>
      <c r="I24" s="501">
        <v>0.22</v>
      </c>
      <c r="J24" s="501"/>
      <c r="K24" s="501">
        <v>0.5</v>
      </c>
      <c r="L24" s="501">
        <v>0.44</v>
      </c>
      <c r="M24" s="501"/>
      <c r="N24" s="501">
        <v>0.75</v>
      </c>
      <c r="O24" s="501">
        <v>0.66</v>
      </c>
      <c r="P24" s="442"/>
      <c r="Q24" s="442">
        <v>0</v>
      </c>
      <c r="R24" s="442">
        <v>1.91</v>
      </c>
      <c r="S24" s="442">
        <v>1.8049999999999999</v>
      </c>
      <c r="T24" s="456"/>
    </row>
    <row r="25" spans="1:20" ht="7.5" customHeight="1" x14ac:dyDescent="0.2">
      <c r="A25" s="314"/>
      <c r="B25" s="81"/>
      <c r="C25" s="494"/>
      <c r="D25" s="406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81"/>
      <c r="Q25" s="81"/>
      <c r="R25" s="81"/>
      <c r="S25" s="82"/>
      <c r="T25" s="456"/>
    </row>
    <row r="26" spans="1:20" x14ac:dyDescent="0.2">
      <c r="A26" s="315"/>
      <c r="C26" s="144"/>
      <c r="D26" s="47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20" ht="7.5" customHeight="1" x14ac:dyDescent="0.2">
      <c r="A27" s="316"/>
      <c r="B27" s="79"/>
      <c r="C27" s="495"/>
      <c r="D27" s="502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79"/>
      <c r="Q27" s="79"/>
      <c r="R27" s="79"/>
      <c r="S27" s="80"/>
      <c r="T27" s="456"/>
    </row>
    <row r="28" spans="1:20" ht="15.75" x14ac:dyDescent="0.25">
      <c r="A28" s="317" t="s">
        <v>115</v>
      </c>
      <c r="B28" s="73"/>
      <c r="C28" s="143"/>
      <c r="D28" s="96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73"/>
      <c r="Q28" s="73"/>
      <c r="R28" s="73"/>
      <c r="S28" s="74"/>
      <c r="T28" s="456"/>
    </row>
    <row r="29" spans="1:20" x14ac:dyDescent="0.2">
      <c r="A29" s="389" t="s">
        <v>332</v>
      </c>
      <c r="B29" s="356">
        <v>0</v>
      </c>
      <c r="C29" s="356">
        <v>0.11600000000000001</v>
      </c>
      <c r="D29" s="123">
        <v>0.109</v>
      </c>
      <c r="E29" s="356">
        <v>0.108</v>
      </c>
      <c r="F29" s="356">
        <v>0.11700000000000001</v>
      </c>
      <c r="G29" s="356">
        <v>0.123</v>
      </c>
      <c r="H29" s="123">
        <v>9.6000000000000002E-2</v>
      </c>
      <c r="I29" s="356">
        <v>9.0999999999999998E-2</v>
      </c>
      <c r="J29" s="356"/>
      <c r="K29" s="356">
        <v>0.109</v>
      </c>
      <c r="L29" s="356">
        <v>9.2999999999999999E-2</v>
      </c>
      <c r="M29" s="356"/>
      <c r="N29" s="356">
        <v>0.111</v>
      </c>
      <c r="O29" s="356">
        <v>0.10299999999999999</v>
      </c>
      <c r="P29" s="356"/>
      <c r="Q29" s="356">
        <v>0</v>
      </c>
      <c r="R29" s="356">
        <v>0.107</v>
      </c>
      <c r="S29" s="357">
        <v>0.1</v>
      </c>
      <c r="T29" s="456"/>
    </row>
    <row r="30" spans="1:20" x14ac:dyDescent="0.2">
      <c r="A30" s="389" t="s">
        <v>333</v>
      </c>
      <c r="B30" s="356">
        <v>0</v>
      </c>
      <c r="C30" s="356">
        <v>5.8999999999999997E-2</v>
      </c>
      <c r="D30" s="356">
        <v>0.13400000000000001</v>
      </c>
      <c r="E30" s="356">
        <v>1.7999999999999999E-2</v>
      </c>
      <c r="F30" s="356">
        <v>0.121</v>
      </c>
      <c r="G30" s="356">
        <v>0.111</v>
      </c>
      <c r="H30" s="356">
        <v>0.10299999999999999</v>
      </c>
      <c r="I30" s="356">
        <v>0.10299999999999999</v>
      </c>
      <c r="J30" s="356"/>
      <c r="K30" s="356">
        <v>7.5999999999999998E-2</v>
      </c>
      <c r="L30" s="356">
        <v>0.10299999999999999</v>
      </c>
      <c r="M30" s="356"/>
      <c r="N30" s="356">
        <v>7.0999999999999994E-2</v>
      </c>
      <c r="O30" s="356">
        <v>0.106</v>
      </c>
      <c r="P30" s="356"/>
      <c r="Q30" s="356">
        <v>0</v>
      </c>
      <c r="R30" s="356">
        <v>0.11</v>
      </c>
      <c r="S30" s="357">
        <v>0.123</v>
      </c>
      <c r="T30" s="456"/>
    </row>
    <row r="31" spans="1:20" x14ac:dyDescent="0.2">
      <c r="A31" s="313"/>
      <c r="B31" s="7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73"/>
      <c r="Q31" s="73"/>
      <c r="R31" s="73"/>
      <c r="S31" s="74"/>
      <c r="T31" s="456"/>
    </row>
    <row r="32" spans="1:20" x14ac:dyDescent="0.2">
      <c r="A32" s="313" t="s">
        <v>270</v>
      </c>
      <c r="B32" s="7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73"/>
      <c r="Q32" s="73"/>
      <c r="R32" s="73"/>
      <c r="S32" s="318"/>
      <c r="T32" s="456"/>
    </row>
    <row r="33" spans="1:20" x14ac:dyDescent="0.2">
      <c r="A33" s="319" t="s">
        <v>209</v>
      </c>
      <c r="B33" s="320">
        <f>'Pg 7 P&amp;C_Specialty_UW'!B27</f>
        <v>0</v>
      </c>
      <c r="C33" s="320">
        <f>'Pg 7 P&amp;C_Specialty_UW'!C27</f>
        <v>0.64500000000000002</v>
      </c>
      <c r="D33" s="320">
        <f>'Pg 7 P&amp;C_Specialty_UW'!D27</f>
        <v>0.61</v>
      </c>
      <c r="E33" s="320">
        <f>'Pg 7 P&amp;C_Specialty_UW'!E27</f>
        <v>0.60799999999999998</v>
      </c>
      <c r="F33" s="320">
        <f>'Pg 7 P&amp;C_Specialty_UW'!F27</f>
        <v>0.64</v>
      </c>
      <c r="G33" s="320">
        <f>'Pg 7 P&amp;C_Specialty_UW'!G27</f>
        <v>0.67100000000000004</v>
      </c>
      <c r="H33" s="320">
        <f>'Pg 7 P&amp;C_Specialty_UW'!H27</f>
        <v>0.64600000000000002</v>
      </c>
      <c r="I33" s="320">
        <f>'Pg 7 P&amp;C_Specialty_UW'!I27</f>
        <v>0.56899999999999995</v>
      </c>
      <c r="J33" s="320"/>
      <c r="K33" s="320">
        <f>'Pg 7 P&amp;C_Specialty_UW'!K27</f>
        <v>0.60899999999999999</v>
      </c>
      <c r="L33" s="320">
        <f>'Pg 7 P&amp;C_Specialty_UW'!L27</f>
        <v>0.61099999999999999</v>
      </c>
      <c r="M33" s="320"/>
      <c r="N33" s="320">
        <f>'Pg 7 P&amp;C_Specialty_UW'!N27</f>
        <v>0.622</v>
      </c>
      <c r="O33" s="320">
        <f>'Pg 7 P&amp;C_Specialty_UW'!O27</f>
        <v>0.63600000000000001</v>
      </c>
      <c r="P33" s="320"/>
      <c r="Q33" s="320">
        <f>'Pg 7 P&amp;C_Specialty_UW'!Q27</f>
        <v>0</v>
      </c>
      <c r="R33" s="320">
        <f>'Pg 7 P&amp;C_Specialty_UW'!R27</f>
        <v>0.63700000000000001</v>
      </c>
      <c r="S33" s="321">
        <f>'Pg 7 P&amp;C_Specialty_UW'!S27</f>
        <v>0.61699999999999999</v>
      </c>
      <c r="T33" s="456"/>
    </row>
    <row r="34" spans="1:20" x14ac:dyDescent="0.2">
      <c r="A34" s="319" t="s">
        <v>300</v>
      </c>
      <c r="B34" s="322">
        <f>'Pg 7 P&amp;C_Specialty_UW'!B28</f>
        <v>0</v>
      </c>
      <c r="C34" s="322">
        <f>'Pg 7 P&amp;C_Specialty_UW'!C28</f>
        <v>0.28399999999999997</v>
      </c>
      <c r="D34" s="322">
        <f>'Pg 7 P&amp;C_Specialty_UW'!D28</f>
        <v>0.33900000000000002</v>
      </c>
      <c r="E34" s="322">
        <f>'Pg 7 P&amp;C_Specialty_UW'!E28</f>
        <v>0.32800000000000001</v>
      </c>
      <c r="F34" s="322">
        <f>'Pg 7 P&amp;C_Specialty_UW'!F28</f>
        <v>0.28599999999999998</v>
      </c>
      <c r="G34" s="322">
        <f>'Pg 7 P&amp;C_Specialty_UW'!G28</f>
        <v>0.26700000000000002</v>
      </c>
      <c r="H34" s="322">
        <f>'Pg 7 P&amp;C_Specialty_UW'!H28</f>
        <v>0.32300000000000001</v>
      </c>
      <c r="I34" s="322">
        <f>'Pg 7 P&amp;C_Specialty_UW'!I28</f>
        <v>0.35299999999999998</v>
      </c>
      <c r="J34" s="320"/>
      <c r="K34" s="322">
        <f>'Pg 7 P&amp;C_Specialty_UW'!K28</f>
        <v>0.33300000000000002</v>
      </c>
      <c r="L34" s="322">
        <f>'Pg 7 P&amp;C_Specialty_UW'!L28</f>
        <v>0.33600000000000002</v>
      </c>
      <c r="M34" s="320"/>
      <c r="N34" s="322">
        <f>'Pg 7 P&amp;C_Specialty_UW'!N28</f>
        <v>0.315</v>
      </c>
      <c r="O34" s="322">
        <f>'Pg 7 P&amp;C_Specialty_UW'!O28</f>
        <v>0.308</v>
      </c>
      <c r="P34" s="320"/>
      <c r="Q34" s="322">
        <f>'Pg 7 P&amp;C_Specialty_UW'!Q28</f>
        <v>0</v>
      </c>
      <c r="R34" s="322">
        <f>'Pg 7 P&amp;C_Specialty_UW'!R28</f>
        <v>0.30199999999999999</v>
      </c>
      <c r="S34" s="323">
        <f>'Pg 7 P&amp;C_Specialty_UW'!S28</f>
        <v>0.318</v>
      </c>
      <c r="T34" s="456"/>
    </row>
    <row r="35" spans="1:20" x14ac:dyDescent="0.2">
      <c r="A35" s="319" t="s">
        <v>155</v>
      </c>
      <c r="B35" s="324">
        <f>'Pg 7 P&amp;C_Specialty_UW'!B29</f>
        <v>0</v>
      </c>
      <c r="C35" s="324">
        <f>'Pg 7 P&amp;C_Specialty_UW'!C29</f>
        <v>0.92900000000000005</v>
      </c>
      <c r="D35" s="324">
        <f>'Pg 7 P&amp;C_Specialty_UW'!D29</f>
        <v>0.94900000000000007</v>
      </c>
      <c r="E35" s="324">
        <f>'Pg 7 P&amp;C_Specialty_UW'!E29</f>
        <v>0.93599999999999994</v>
      </c>
      <c r="F35" s="324">
        <f>'Pg 7 P&amp;C_Specialty_UW'!F29</f>
        <v>0.92599999999999993</v>
      </c>
      <c r="G35" s="324">
        <f>'Pg 7 P&amp;C_Specialty_UW'!G29</f>
        <v>0.93800000000000006</v>
      </c>
      <c r="H35" s="324">
        <f>'Pg 7 P&amp;C_Specialty_UW'!H29</f>
        <v>0.96900000000000008</v>
      </c>
      <c r="I35" s="324">
        <f>'Pg 7 P&amp;C_Specialty_UW'!I29</f>
        <v>0.92199999999999993</v>
      </c>
      <c r="J35" s="320"/>
      <c r="K35" s="324">
        <f>'Pg 7 P&amp;C_Specialty_UW'!K29</f>
        <v>0.94199999999999995</v>
      </c>
      <c r="L35" s="324">
        <f>'Pg 7 P&amp;C_Specialty_UW'!L29</f>
        <v>0.94700000000000006</v>
      </c>
      <c r="M35" s="320"/>
      <c r="N35" s="324">
        <f>'Pg 7 P&amp;C_Specialty_UW'!N29</f>
        <v>0.93700000000000006</v>
      </c>
      <c r="O35" s="324">
        <f>'Pg 7 P&amp;C_Specialty_UW'!O29</f>
        <v>0.94399999999999995</v>
      </c>
      <c r="P35" s="320"/>
      <c r="Q35" s="324">
        <f>'Pg 7 P&amp;C_Specialty_UW'!Q29</f>
        <v>0</v>
      </c>
      <c r="R35" s="324">
        <f>'Pg 7 P&amp;C_Specialty_UW'!R29</f>
        <v>0.93900000000000006</v>
      </c>
      <c r="S35" s="325">
        <f>'Pg 7 P&amp;C_Specialty_UW'!S29</f>
        <v>0.93500000000000005</v>
      </c>
      <c r="T35" s="456"/>
    </row>
    <row r="36" spans="1:20" x14ac:dyDescent="0.2">
      <c r="A36" s="31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4"/>
      <c r="T36" s="456"/>
    </row>
    <row r="37" spans="1:20" x14ac:dyDescent="0.2">
      <c r="A37" s="313" t="s">
        <v>149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/>
      <c r="T37" s="456"/>
    </row>
    <row r="38" spans="1:20" x14ac:dyDescent="0.2">
      <c r="A38" s="319" t="s">
        <v>111</v>
      </c>
      <c r="B38" s="219">
        <f>'Pg 14 Annuity_Spread'!B15</f>
        <v>0</v>
      </c>
      <c r="C38" s="219">
        <f>'Pg 14 Annuity_Spread'!C15</f>
        <v>2.8000000000000001E-2</v>
      </c>
      <c r="D38" s="219">
        <f>'Pg 14 Annuity_Spread'!D15</f>
        <v>2.7699999999999999E-2</v>
      </c>
      <c r="E38" s="219">
        <f>'Pg 14 Annuity_Spread'!E15</f>
        <v>2.6700000000000002E-2</v>
      </c>
      <c r="F38" s="219">
        <f>'Pg 14 Annuity_Spread'!F15</f>
        <v>2.64E-2</v>
      </c>
      <c r="G38" s="219">
        <f>'Pg 14 Annuity_Spread'!G15</f>
        <v>2.7699999999999999E-2</v>
      </c>
      <c r="H38" s="219">
        <f>'Pg 14 Annuity_Spread'!H15</f>
        <v>2.92E-2</v>
      </c>
      <c r="I38" s="219">
        <f>'Pg 14 Annuity_Spread'!I15</f>
        <v>2.8099999999999997E-2</v>
      </c>
      <c r="J38" s="326"/>
      <c r="K38" s="219">
        <f>'Pg 14 Annuity_Spread'!K15</f>
        <v>2.7200000000000002E-2</v>
      </c>
      <c r="L38" s="219">
        <f>'Pg 14 Annuity_Spread'!L15</f>
        <v>2.87E-2</v>
      </c>
      <c r="M38" s="326"/>
      <c r="N38" s="219">
        <f>'Pg 14 Annuity_Spread'!N15</f>
        <v>2.75E-2</v>
      </c>
      <c r="O38" s="219">
        <f>'Pg 14 Annuity_Spread'!O15</f>
        <v>2.8300000000000002E-2</v>
      </c>
      <c r="P38" s="326"/>
      <c r="Q38" s="219">
        <f>'Pg 14 Annuity_Spread'!Q15</f>
        <v>0</v>
      </c>
      <c r="R38" s="219">
        <f>'Pg 14 Annuity_Spread'!R15</f>
        <v>2.7799999999999998E-2</v>
      </c>
      <c r="S38" s="327">
        <f>'Pg 14 Annuity_Spread'!S15</f>
        <v>2.9399999999999999E-2</v>
      </c>
      <c r="T38" s="456"/>
    </row>
    <row r="39" spans="1:20" x14ac:dyDescent="0.2">
      <c r="A39" s="319" t="s">
        <v>337</v>
      </c>
      <c r="B39" s="219"/>
      <c r="C39" s="219"/>
      <c r="D39" s="219"/>
      <c r="E39" s="219"/>
      <c r="F39" s="219"/>
      <c r="G39" s="219"/>
      <c r="H39" s="219"/>
      <c r="I39" s="219"/>
      <c r="J39" s="326"/>
      <c r="K39" s="219"/>
      <c r="L39" s="219"/>
      <c r="M39" s="326"/>
      <c r="N39" s="219"/>
      <c r="O39" s="219"/>
      <c r="P39" s="326"/>
      <c r="Q39" s="219"/>
      <c r="R39" s="219"/>
      <c r="S39" s="327"/>
      <c r="T39" s="456"/>
    </row>
    <row r="40" spans="1:20" x14ac:dyDescent="0.2">
      <c r="A40" s="475" t="s">
        <v>338</v>
      </c>
      <c r="B40" s="219">
        <f>'Pg 14 Annuity_Spread'!B38</f>
        <v>0</v>
      </c>
      <c r="C40" s="219">
        <f>'Pg 14 Annuity_Spread'!C38</f>
        <v>1.37E-2</v>
      </c>
      <c r="D40" s="219">
        <f>'Pg 14 Annuity_Spread'!D38</f>
        <v>1.2099999999999996E-2</v>
      </c>
      <c r="E40" s="219">
        <f>'Pg 14 Annuity_Spread'!E38</f>
        <v>1.4900000000000004E-2</v>
      </c>
      <c r="F40" s="219">
        <f>'Pg 14 Annuity_Spread'!F38</f>
        <v>1.5399999999999995E-2</v>
      </c>
      <c r="G40" s="219">
        <f>'Pg 14 Annuity_Spread'!G38</f>
        <v>1.4999999999999998E-2</v>
      </c>
      <c r="H40" s="219">
        <f>'Pg 14 Annuity_Spread'!H38</f>
        <v>1.6399999999999998E-2</v>
      </c>
      <c r="I40" s="219">
        <f>'Pg 14 Annuity_Spread'!I38</f>
        <v>1.5799999999999995E-2</v>
      </c>
      <c r="J40" s="326"/>
      <c r="K40" s="219">
        <f>'Pg 14 Annuity_Spread'!K38</f>
        <v>1.3500000000000005E-2</v>
      </c>
      <c r="L40" s="219">
        <f>'Pg 14 Annuity_Spread'!L38</f>
        <v>1.6099999999999996E-2</v>
      </c>
      <c r="M40" s="326"/>
      <c r="N40" s="219">
        <f>'Pg 14 Annuity_Spread'!N38</f>
        <v>1.3600000000000003E-2</v>
      </c>
      <c r="O40" s="219">
        <f>'Pg 14 Annuity_Spread'!O38</f>
        <v>1.5700000000000002E-2</v>
      </c>
      <c r="P40" s="326"/>
      <c r="Q40" s="219">
        <f>'Pg 14 Annuity_Spread'!Q38</f>
        <v>0</v>
      </c>
      <c r="R40" s="219">
        <f>'Pg 14 Annuity_Spread'!R38</f>
        <v>1.5599999999999994E-2</v>
      </c>
      <c r="S40" s="219">
        <f>'Pg 14 Annuity_Spread'!S38</f>
        <v>1.5199999999999997E-2</v>
      </c>
      <c r="T40" s="456"/>
    </row>
    <row r="41" spans="1:20" x14ac:dyDescent="0.2">
      <c r="A41" s="475" t="s">
        <v>344</v>
      </c>
      <c r="B41" s="477">
        <f>'Pg 14 Annuity_Spread'!B39</f>
        <v>0</v>
      </c>
      <c r="C41" s="477">
        <f>'Pg 14 Annuity_Spread'!C39</f>
        <v>-3.5000000000000001E-3</v>
      </c>
      <c r="D41" s="477">
        <f>'Pg 14 Annuity_Spread'!D39</f>
        <v>1.8E-3</v>
      </c>
      <c r="E41" s="477">
        <f>'Pg 14 Annuity_Spread'!E39</f>
        <v>-2.8E-3</v>
      </c>
      <c r="F41" s="477">
        <f>'Pg 14 Annuity_Spread'!F39</f>
        <v>-1.4E-3</v>
      </c>
      <c r="G41" s="477">
        <f>'Pg 14 Annuity_Spread'!G39</f>
        <v>-2.0000000000000001E-4</v>
      </c>
      <c r="H41" s="477">
        <f>'Pg 14 Annuity_Spread'!H39</f>
        <v>-1.8E-3</v>
      </c>
      <c r="I41" s="477">
        <f>'Pg 14 Annuity_Spread'!I39</f>
        <v>-2.8E-3</v>
      </c>
      <c r="J41" s="326"/>
      <c r="K41" s="477">
        <f>'Pg 14 Annuity_Spread'!K39</f>
        <v>-5.0000000000000001E-4</v>
      </c>
      <c r="L41" s="477">
        <f>'Pg 14 Annuity_Spread'!L39</f>
        <v>-2.3E-3</v>
      </c>
      <c r="M41" s="326"/>
      <c r="N41" s="477">
        <f>'Pg 14 Annuity_Spread'!N39</f>
        <v>-1.5E-3</v>
      </c>
      <c r="O41" s="477">
        <f>'Pg 14 Annuity_Spread'!O39</f>
        <v>-1.6000000000000001E-3</v>
      </c>
      <c r="P41" s="326"/>
      <c r="Q41" s="477">
        <f>'Pg 14 Annuity_Spread'!Q39</f>
        <v>0</v>
      </c>
      <c r="R41" s="477">
        <f>'Pg 14 Annuity_Spread'!R39</f>
        <v>-1.5E-3</v>
      </c>
      <c r="S41" s="477">
        <f>'Pg 14 Annuity_Spread'!S39</f>
        <v>8.0000000000000004E-4</v>
      </c>
      <c r="T41" s="456"/>
    </row>
    <row r="42" spans="1:20" ht="15" customHeight="1" x14ac:dyDescent="0.2">
      <c r="A42" s="475" t="s">
        <v>339</v>
      </c>
      <c r="B42" s="476">
        <f>'Pg 14 Annuity_Spread'!B23</f>
        <v>0</v>
      </c>
      <c r="C42" s="476">
        <f>'Pg 14 Annuity_Spread'!C23</f>
        <v>1.0200000000000001E-2</v>
      </c>
      <c r="D42" s="476">
        <f>'Pg 14 Annuity_Spread'!D23</f>
        <v>1.3899999999999996E-2</v>
      </c>
      <c r="E42" s="476">
        <f>'Pg 14 Annuity_Spread'!E23</f>
        <v>1.2100000000000003E-2</v>
      </c>
      <c r="F42" s="476">
        <f>'Pg 14 Annuity_Spread'!F23</f>
        <v>1.3999999999999995E-2</v>
      </c>
      <c r="G42" s="476">
        <f>'Pg 14 Annuity_Spread'!G23</f>
        <v>1.4799999999999997E-2</v>
      </c>
      <c r="H42" s="476">
        <f>'Pg 14 Annuity_Spread'!H23</f>
        <v>1.4599999999999998E-2</v>
      </c>
      <c r="I42" s="476">
        <f>'Pg 14 Annuity_Spread'!I23</f>
        <v>1.2999999999999994E-2</v>
      </c>
      <c r="J42" s="326"/>
      <c r="K42" s="476">
        <f>'Pg 14 Annuity_Spread'!K23</f>
        <v>1.3000000000000005E-2</v>
      </c>
      <c r="L42" s="476">
        <f>'Pg 14 Annuity_Spread'!L23</f>
        <v>1.3799999999999995E-2</v>
      </c>
      <c r="M42" s="326"/>
      <c r="N42" s="476">
        <f>'Pg 14 Annuity_Spread'!N23</f>
        <v>1.2100000000000003E-2</v>
      </c>
      <c r="O42" s="476">
        <f>'Pg 14 Annuity_Spread'!O23</f>
        <v>1.4100000000000003E-2</v>
      </c>
      <c r="P42" s="326"/>
      <c r="Q42" s="476">
        <f>'Pg 14 Annuity_Spread'!Q23</f>
        <v>0</v>
      </c>
      <c r="R42" s="476">
        <f>'Pg 14 Annuity_Spread'!R23</f>
        <v>1.4099999999999994E-2</v>
      </c>
      <c r="S42" s="476">
        <f>'Pg 14 Annuity_Spread'!S23</f>
        <v>1.5999999999999997E-2</v>
      </c>
      <c r="T42" s="456"/>
    </row>
    <row r="43" spans="1:20" ht="7.5" customHeight="1" x14ac:dyDescent="0.2">
      <c r="A43" s="314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  <c r="T43" s="456"/>
    </row>
    <row r="44" spans="1:20" x14ac:dyDescent="0.2">
      <c r="A44" s="315"/>
    </row>
    <row r="45" spans="1:20" x14ac:dyDescent="0.2">
      <c r="A45" s="315" t="s">
        <v>335</v>
      </c>
    </row>
    <row r="46" spans="1:20" x14ac:dyDescent="0.2">
      <c r="A46" s="315" t="s">
        <v>334</v>
      </c>
    </row>
    <row r="47" spans="1:20" x14ac:dyDescent="0.2">
      <c r="A47" s="315" t="s">
        <v>343</v>
      </c>
    </row>
    <row r="48" spans="1:20" x14ac:dyDescent="0.2">
      <c r="A48" s="52" t="s">
        <v>396</v>
      </c>
    </row>
  </sheetData>
  <sheetProtection password="CBFD" sheet="1" objects="1" scenarios="1"/>
  <pageMargins left="0.7" right="0.7" top="0.75" bottom="0.25" header="0.3" footer="0.05"/>
  <pageSetup scale="74" orientation="landscape" r:id="rId1"/>
  <headerFooter>
    <oddHeader>&amp;R&amp;G</oddHeader>
    <oddFooter>&amp;C3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/>
  <dimension ref="A1:S39"/>
  <sheetViews>
    <sheetView zoomScale="85" zoomScaleNormal="85" workbookViewId="0"/>
  </sheetViews>
  <sheetFormatPr defaultRowHeight="15" x14ac:dyDescent="0.2"/>
  <cols>
    <col min="1" max="1" width="50.77734375" style="179" customWidth="1"/>
    <col min="2" max="2" width="10.77734375" style="18" hidden="1" customWidth="1"/>
    <col min="3" max="7" width="10.77734375" style="18" customWidth="1"/>
    <col min="8" max="9" width="10.77734375" style="18" hidden="1" customWidth="1"/>
    <col min="10" max="10" width="1.77734375" style="18" customWidth="1"/>
    <col min="11" max="12" width="10.77734375" style="18" hidden="1" customWidth="1"/>
    <col min="13" max="13" width="1.77734375" style="18" hidden="1" customWidth="1"/>
    <col min="14" max="15" width="10.77734375" style="18" customWidth="1"/>
    <col min="16" max="16" width="1.77734375" style="18" hidden="1" customWidth="1"/>
    <col min="17" max="19" width="10.77734375" style="18" hidden="1" customWidth="1"/>
    <col min="20" max="16384" width="8.88671875" style="179"/>
  </cols>
  <sheetData>
    <row r="1" spans="1:19" s="172" customFormat="1" ht="18" x14ac:dyDescent="0.25">
      <c r="A1" s="173" t="str">
        <f>'Cover Page'!$H$10</f>
        <v>American Financial Group, Inc.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19" s="172" customFormat="1" ht="18" x14ac:dyDescent="0.25">
      <c r="A2" s="173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19" s="172" customFormat="1" ht="18" x14ac:dyDescent="0.25">
      <c r="A3" s="16" t="s">
        <v>14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spans="1:19" ht="15.75" x14ac:dyDescent="0.25">
      <c r="A4" s="15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ht="15.75" x14ac:dyDescent="0.25">
      <c r="A5" s="15"/>
      <c r="B5" s="145" t="s">
        <v>2</v>
      </c>
      <c r="C5" s="145" t="s">
        <v>2</v>
      </c>
      <c r="D5" s="145"/>
      <c r="E5" s="145"/>
      <c r="F5" s="146"/>
      <c r="G5" s="146"/>
      <c r="H5" s="146"/>
      <c r="I5" s="146"/>
      <c r="J5" s="87"/>
      <c r="K5" s="145" t="s">
        <v>6</v>
      </c>
      <c r="L5" s="146"/>
      <c r="M5" s="21"/>
      <c r="N5" s="145" t="s">
        <v>7</v>
      </c>
      <c r="O5" s="146"/>
      <c r="P5" s="87"/>
      <c r="Q5" s="145" t="s">
        <v>3</v>
      </c>
      <c r="R5" s="145" t="s">
        <v>3</v>
      </c>
      <c r="S5" s="146"/>
    </row>
    <row r="6" spans="1:19" ht="20.25" x14ac:dyDescent="0.55000000000000004">
      <c r="A6" s="15"/>
      <c r="B6" s="69" t="s">
        <v>384</v>
      </c>
      <c r="C6" s="69" t="s">
        <v>385</v>
      </c>
      <c r="D6" s="69" t="s">
        <v>386</v>
      </c>
      <c r="E6" s="69" t="s">
        <v>387</v>
      </c>
      <c r="F6" s="69" t="s">
        <v>322</v>
      </c>
      <c r="G6" s="69" t="s">
        <v>323</v>
      </c>
      <c r="H6" s="69" t="s">
        <v>324</v>
      </c>
      <c r="I6" s="69" t="s">
        <v>325</v>
      </c>
      <c r="J6" s="21"/>
      <c r="K6" s="69" t="s">
        <v>386</v>
      </c>
      <c r="L6" s="69" t="s">
        <v>324</v>
      </c>
      <c r="M6" s="21"/>
      <c r="N6" s="69" t="s">
        <v>385</v>
      </c>
      <c r="O6" s="69" t="s">
        <v>323</v>
      </c>
      <c r="P6" s="70"/>
      <c r="Q6" s="69" t="s">
        <v>384</v>
      </c>
      <c r="R6" s="69" t="s">
        <v>322</v>
      </c>
      <c r="S6" s="69" t="s">
        <v>117</v>
      </c>
    </row>
    <row r="7" spans="1:19" x14ac:dyDescent="0.2">
      <c r="A7" s="20" t="s">
        <v>151</v>
      </c>
      <c r="B7" s="17"/>
      <c r="C7" s="17"/>
      <c r="D7" s="17"/>
      <c r="E7" s="17"/>
      <c r="F7" s="17"/>
      <c r="G7" s="17"/>
      <c r="H7" s="17"/>
      <c r="I7" s="17"/>
      <c r="J7" s="17"/>
      <c r="K7" s="52"/>
      <c r="L7" s="52"/>
      <c r="M7" s="17"/>
      <c r="N7" s="52"/>
      <c r="O7" s="52"/>
      <c r="P7" s="17"/>
      <c r="Q7" s="52"/>
      <c r="R7" s="52"/>
      <c r="S7" s="52"/>
    </row>
    <row r="8" spans="1:19" x14ac:dyDescent="0.2">
      <c r="A8" s="443" t="s">
        <v>65</v>
      </c>
      <c r="B8" s="22">
        <f>Q8-N8</f>
        <v>-192</v>
      </c>
      <c r="C8" s="22">
        <f>N8-K8</f>
        <v>82</v>
      </c>
      <c r="D8" s="22">
        <f>K8-E8</f>
        <v>50</v>
      </c>
      <c r="E8" s="22">
        <v>60</v>
      </c>
      <c r="F8" s="22">
        <f>R8-O8</f>
        <v>79</v>
      </c>
      <c r="G8" s="22">
        <f>O8-L8</f>
        <v>70</v>
      </c>
      <c r="H8" s="22">
        <f>L8-I8</f>
        <v>29</v>
      </c>
      <c r="I8" s="22">
        <v>58</v>
      </c>
      <c r="J8" s="22"/>
      <c r="K8" s="22">
        <v>110</v>
      </c>
      <c r="L8" s="22">
        <v>87</v>
      </c>
      <c r="M8" s="335"/>
      <c r="N8" s="22">
        <v>192</v>
      </c>
      <c r="O8" s="22">
        <v>157</v>
      </c>
      <c r="P8" s="335"/>
      <c r="Q8" s="22">
        <v>0</v>
      </c>
      <c r="R8" s="22">
        <v>236</v>
      </c>
      <c r="S8" s="22">
        <v>199</v>
      </c>
    </row>
    <row r="9" spans="1:19" x14ac:dyDescent="0.2">
      <c r="A9" s="419" t="s">
        <v>144</v>
      </c>
      <c r="B9" s="17">
        <f>Q9-N9</f>
        <v>-245</v>
      </c>
      <c r="C9" s="17">
        <f>N9-K9</f>
        <v>83</v>
      </c>
      <c r="D9" s="17">
        <f>K9-E9</f>
        <v>83</v>
      </c>
      <c r="E9" s="17">
        <v>79</v>
      </c>
      <c r="F9" s="17">
        <f>R9-O9</f>
        <v>75</v>
      </c>
      <c r="G9" s="17">
        <f>O9-L9</f>
        <v>76</v>
      </c>
      <c r="H9" s="17">
        <f>L9-I9</f>
        <v>76</v>
      </c>
      <c r="I9" s="17">
        <v>67</v>
      </c>
      <c r="J9" s="17"/>
      <c r="K9" s="17">
        <v>162</v>
      </c>
      <c r="L9" s="17">
        <v>143</v>
      </c>
      <c r="M9" s="17"/>
      <c r="N9" s="17">
        <v>245</v>
      </c>
      <c r="O9" s="17">
        <v>219</v>
      </c>
      <c r="P9" s="17"/>
      <c r="Q9" s="17">
        <v>0</v>
      </c>
      <c r="R9" s="17">
        <v>294</v>
      </c>
      <c r="S9" s="17">
        <v>263</v>
      </c>
    </row>
    <row r="10" spans="1:19" ht="17.25" x14ac:dyDescent="0.35">
      <c r="A10" s="443" t="s">
        <v>66</v>
      </c>
      <c r="B10" s="88">
        <f>Q10-N10</f>
        <v>34</v>
      </c>
      <c r="C10" s="88">
        <f>N10-K10</f>
        <v>-12</v>
      </c>
      <c r="D10" s="88">
        <f>K10-E10</f>
        <v>-12</v>
      </c>
      <c r="E10" s="88">
        <v>-10</v>
      </c>
      <c r="F10" s="88">
        <f>R10-O10</f>
        <v>-13</v>
      </c>
      <c r="G10" s="88">
        <f>O10-L10</f>
        <v>-16</v>
      </c>
      <c r="H10" s="88">
        <f>L10-I10</f>
        <v>-8</v>
      </c>
      <c r="I10" s="88">
        <v>-17</v>
      </c>
      <c r="J10" s="88"/>
      <c r="K10" s="88">
        <v>-22</v>
      </c>
      <c r="L10" s="88">
        <v>-25</v>
      </c>
      <c r="M10" s="297"/>
      <c r="N10" s="88">
        <v>-34</v>
      </c>
      <c r="O10" s="88">
        <v>-41</v>
      </c>
      <c r="P10" s="297"/>
      <c r="Q10" s="88">
        <v>0</v>
      </c>
      <c r="R10" s="88">
        <v>-54</v>
      </c>
      <c r="S10" s="88">
        <v>-40</v>
      </c>
    </row>
    <row r="11" spans="1:19" x14ac:dyDescent="0.2">
      <c r="A11" s="16" t="s">
        <v>272</v>
      </c>
      <c r="B11" s="17">
        <f t="shared" ref="B11:H11" si="0">SUM(B8:B10)</f>
        <v>-403</v>
      </c>
      <c r="C11" s="17">
        <f t="shared" si="0"/>
        <v>153</v>
      </c>
      <c r="D11" s="17">
        <f t="shared" si="0"/>
        <v>121</v>
      </c>
      <c r="E11" s="17">
        <f t="shared" si="0"/>
        <v>129</v>
      </c>
      <c r="F11" s="17">
        <f t="shared" si="0"/>
        <v>141</v>
      </c>
      <c r="G11" s="17">
        <f t="shared" si="0"/>
        <v>130</v>
      </c>
      <c r="H11" s="17">
        <f t="shared" si="0"/>
        <v>97</v>
      </c>
      <c r="I11" s="17">
        <f t="shared" ref="I11" si="1">SUM(I8:I10)</f>
        <v>108</v>
      </c>
      <c r="J11" s="17"/>
      <c r="K11" s="17">
        <f>SUM(K8:K10)</f>
        <v>250</v>
      </c>
      <c r="L11" s="17">
        <f>SUM(L8:L10)</f>
        <v>205</v>
      </c>
      <c r="M11" s="17"/>
      <c r="N11" s="17">
        <f>SUM(N8:N10)</f>
        <v>403</v>
      </c>
      <c r="O11" s="17">
        <f>SUM(O8:O10)</f>
        <v>335</v>
      </c>
      <c r="P11" s="17"/>
      <c r="Q11" s="17">
        <f>SUM(Q8:Q10)</f>
        <v>0</v>
      </c>
      <c r="R11" s="17">
        <f>SUM(R8:R10)</f>
        <v>476</v>
      </c>
      <c r="S11" s="17">
        <f>SUM(S8:S10)</f>
        <v>422</v>
      </c>
    </row>
    <row r="12" spans="1:19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x14ac:dyDescent="0.2">
      <c r="A13" s="20" t="s">
        <v>150</v>
      </c>
      <c r="B13" s="17">
        <f>Q13-N13</f>
        <v>-230</v>
      </c>
      <c r="C13" s="17">
        <f>N13-K13</f>
        <v>67</v>
      </c>
      <c r="D13" s="17">
        <f>K13-E13</f>
        <v>88</v>
      </c>
      <c r="E13" s="17">
        <v>75</v>
      </c>
      <c r="F13" s="17">
        <f>R13-O13</f>
        <v>85</v>
      </c>
      <c r="G13" s="17">
        <f>O13-L13</f>
        <v>86</v>
      </c>
      <c r="H13" s="17">
        <f>L13-I13</f>
        <v>84</v>
      </c>
      <c r="I13" s="17">
        <v>73</v>
      </c>
      <c r="J13" s="17"/>
      <c r="K13" s="17">
        <v>163</v>
      </c>
      <c r="L13" s="17">
        <v>157</v>
      </c>
      <c r="M13" s="17"/>
      <c r="N13" s="17">
        <v>230</v>
      </c>
      <c r="O13" s="17">
        <v>243</v>
      </c>
      <c r="P13" s="17"/>
      <c r="Q13" s="17">
        <v>0</v>
      </c>
      <c r="R13" s="17">
        <v>328</v>
      </c>
      <c r="S13" s="17">
        <v>328</v>
      </c>
    </row>
    <row r="14" spans="1:19" x14ac:dyDescent="0.2">
      <c r="A14" s="20" t="s">
        <v>379</v>
      </c>
      <c r="B14" s="17">
        <f>Q14-N14</f>
        <v>-14</v>
      </c>
      <c r="C14" s="17">
        <f>N14-K14</f>
        <v>6</v>
      </c>
      <c r="D14" s="17">
        <f>K14-E14</f>
        <v>4</v>
      </c>
      <c r="E14" s="17">
        <v>4</v>
      </c>
      <c r="F14" s="17">
        <f>R14-O14</f>
        <v>-7</v>
      </c>
      <c r="G14" s="17">
        <f>O14-L14</f>
        <v>1</v>
      </c>
      <c r="H14" s="17">
        <f>L14-I14</f>
        <v>-2</v>
      </c>
      <c r="I14" s="17">
        <v>-2</v>
      </c>
      <c r="J14" s="17"/>
      <c r="K14" s="17">
        <v>8</v>
      </c>
      <c r="L14" s="17">
        <v>-4</v>
      </c>
      <c r="M14" s="17"/>
      <c r="N14" s="17">
        <v>14</v>
      </c>
      <c r="O14" s="17">
        <v>-3</v>
      </c>
      <c r="P14" s="17"/>
      <c r="Q14" s="17">
        <v>0</v>
      </c>
      <c r="R14" s="17">
        <v>-10</v>
      </c>
      <c r="S14" s="17">
        <v>-10</v>
      </c>
    </row>
    <row r="15" spans="1:19" hidden="1" x14ac:dyDescent="0.2">
      <c r="A15" s="20" t="s">
        <v>336</v>
      </c>
      <c r="B15" s="17">
        <f>Q15-N15</f>
        <v>0</v>
      </c>
      <c r="C15" s="17">
        <f>N15-K15</f>
        <v>0</v>
      </c>
      <c r="D15" s="17">
        <f>K15-E15</f>
        <v>0</v>
      </c>
      <c r="E15" s="17">
        <v>0</v>
      </c>
      <c r="F15" s="17">
        <f>R15-O15</f>
        <v>0</v>
      </c>
      <c r="G15" s="17">
        <f>O15-L15</f>
        <v>0</v>
      </c>
      <c r="H15" s="17">
        <f>L15-I15</f>
        <v>0</v>
      </c>
      <c r="I15" s="17">
        <v>0</v>
      </c>
      <c r="J15" s="17"/>
      <c r="K15" s="17">
        <v>0</v>
      </c>
      <c r="L15" s="17">
        <v>0</v>
      </c>
      <c r="M15" s="17"/>
      <c r="N15" s="17">
        <v>0</v>
      </c>
      <c r="O15" s="17">
        <v>0</v>
      </c>
      <c r="P15" s="17"/>
      <c r="Q15" s="17">
        <v>0</v>
      </c>
      <c r="R15" s="17">
        <v>0</v>
      </c>
      <c r="S15" s="17">
        <v>0</v>
      </c>
    </row>
    <row r="16" spans="1:19" x14ac:dyDescent="0.2">
      <c r="A16" s="20" t="s">
        <v>118</v>
      </c>
      <c r="B16" s="17">
        <f>Q16-N16</f>
        <v>56</v>
      </c>
      <c r="C16" s="17">
        <f>N16-K16</f>
        <v>-18</v>
      </c>
      <c r="D16" s="17">
        <f>K16-E16</f>
        <v>-19</v>
      </c>
      <c r="E16" s="17">
        <v>-19</v>
      </c>
      <c r="F16" s="17">
        <f>R16-O16</f>
        <v>-19</v>
      </c>
      <c r="G16" s="17">
        <f>O16-L16</f>
        <v>-17</v>
      </c>
      <c r="H16" s="17">
        <f>L16-I16</f>
        <v>-16</v>
      </c>
      <c r="I16" s="17">
        <v>-17</v>
      </c>
      <c r="J16" s="17"/>
      <c r="K16" s="17">
        <v>-38</v>
      </c>
      <c r="L16" s="17">
        <v>-33</v>
      </c>
      <c r="M16" s="17"/>
      <c r="N16" s="17">
        <v>-56</v>
      </c>
      <c r="O16" s="17">
        <v>-50</v>
      </c>
      <c r="P16" s="17"/>
      <c r="Q16" s="17">
        <v>0</v>
      </c>
      <c r="R16" s="17">
        <v>-69</v>
      </c>
      <c r="S16" s="17">
        <v>-68</v>
      </c>
    </row>
    <row r="17" spans="1:19" ht="17.25" x14ac:dyDescent="0.35">
      <c r="A17" s="20" t="s">
        <v>66</v>
      </c>
      <c r="B17" s="88">
        <f>Q17-N17</f>
        <v>61</v>
      </c>
      <c r="C17" s="88">
        <f>N17-K17</f>
        <v>-19</v>
      </c>
      <c r="D17" s="88">
        <f>K17-E17</f>
        <v>-20</v>
      </c>
      <c r="E17" s="88">
        <v>-22</v>
      </c>
      <c r="F17" s="88">
        <f>R17-O17</f>
        <v>-16</v>
      </c>
      <c r="G17" s="88">
        <f>O17-L17</f>
        <v>-13</v>
      </c>
      <c r="H17" s="88">
        <f>L17-I17</f>
        <v>-21</v>
      </c>
      <c r="I17" s="88">
        <v>-24</v>
      </c>
      <c r="J17" s="88"/>
      <c r="K17" s="88">
        <v>-42</v>
      </c>
      <c r="L17" s="88">
        <v>-45</v>
      </c>
      <c r="M17" s="17"/>
      <c r="N17" s="88">
        <v>-61</v>
      </c>
      <c r="O17" s="88">
        <v>-58</v>
      </c>
      <c r="P17" s="17"/>
      <c r="Q17" s="88">
        <v>0</v>
      </c>
      <c r="R17" s="88">
        <v>-74</v>
      </c>
      <c r="S17" s="88">
        <v>-100</v>
      </c>
    </row>
    <row r="18" spans="1:19" x14ac:dyDescent="0.2">
      <c r="A18" s="20" t="s">
        <v>67</v>
      </c>
      <c r="B18" s="17">
        <f t="shared" ref="B18:H18" si="2">SUM(B11:B17)</f>
        <v>-530</v>
      </c>
      <c r="C18" s="17">
        <f t="shared" si="2"/>
        <v>189</v>
      </c>
      <c r="D18" s="17">
        <f t="shared" si="2"/>
        <v>174</v>
      </c>
      <c r="E18" s="17">
        <f t="shared" si="2"/>
        <v>167</v>
      </c>
      <c r="F18" s="17">
        <f t="shared" si="2"/>
        <v>184</v>
      </c>
      <c r="G18" s="17">
        <f t="shared" si="2"/>
        <v>187</v>
      </c>
      <c r="H18" s="17">
        <f t="shared" si="2"/>
        <v>142</v>
      </c>
      <c r="I18" s="17">
        <f t="shared" ref="I18" si="3">SUM(I11:I17)</f>
        <v>138</v>
      </c>
      <c r="J18" s="17"/>
      <c r="K18" s="17">
        <f>SUM(K11:K17)</f>
        <v>341</v>
      </c>
      <c r="L18" s="17">
        <f>SUM(L11:L17)</f>
        <v>280</v>
      </c>
      <c r="M18" s="17"/>
      <c r="N18" s="17">
        <f>SUM(N11:N17)</f>
        <v>530</v>
      </c>
      <c r="O18" s="17">
        <f>SUM(O11:O17)</f>
        <v>467</v>
      </c>
      <c r="P18" s="17"/>
      <c r="Q18" s="17">
        <f>SUM(Q11:Q17)</f>
        <v>0</v>
      </c>
      <c r="R18" s="17">
        <f>SUM(R11:R17)</f>
        <v>651</v>
      </c>
      <c r="S18" s="17">
        <f>SUM(S11:S17)</f>
        <v>572</v>
      </c>
    </row>
    <row r="19" spans="1:19" x14ac:dyDescent="0.2">
      <c r="A19" s="2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7.25" x14ac:dyDescent="0.35">
      <c r="A20" s="16" t="s">
        <v>68</v>
      </c>
      <c r="B20" s="88">
        <f>Q20-N20</f>
        <v>-180</v>
      </c>
      <c r="C20" s="88">
        <f>N20-K20</f>
        <v>66</v>
      </c>
      <c r="D20" s="88">
        <f>K20-E20</f>
        <v>59</v>
      </c>
      <c r="E20" s="88">
        <v>55</v>
      </c>
      <c r="F20" s="88">
        <f>R20-O20</f>
        <v>62</v>
      </c>
      <c r="G20" s="88">
        <f>O20-L20</f>
        <v>60</v>
      </c>
      <c r="H20" s="88">
        <f>L20-I20</f>
        <v>43</v>
      </c>
      <c r="I20" s="88">
        <v>47</v>
      </c>
      <c r="J20" s="88"/>
      <c r="K20" s="88">
        <v>114</v>
      </c>
      <c r="L20" s="88">
        <v>90</v>
      </c>
      <c r="M20" s="17"/>
      <c r="N20" s="88">
        <v>180</v>
      </c>
      <c r="O20" s="88">
        <v>150</v>
      </c>
      <c r="P20" s="17"/>
      <c r="Q20" s="88">
        <v>0</v>
      </c>
      <c r="R20" s="88">
        <v>212</v>
      </c>
      <c r="S20" s="88">
        <v>187</v>
      </c>
    </row>
    <row r="21" spans="1:19" ht="15.75" customHeight="1" x14ac:dyDescent="0.25">
      <c r="A21" s="329" t="s">
        <v>69</v>
      </c>
      <c r="B21" s="87">
        <f t="shared" ref="B21:H21" si="4">B18-B20</f>
        <v>-350</v>
      </c>
      <c r="C21" s="87">
        <f t="shared" si="4"/>
        <v>123</v>
      </c>
      <c r="D21" s="87">
        <f t="shared" si="4"/>
        <v>115</v>
      </c>
      <c r="E21" s="87">
        <f t="shared" si="4"/>
        <v>112</v>
      </c>
      <c r="F21" s="87">
        <f t="shared" si="4"/>
        <v>122</v>
      </c>
      <c r="G21" s="87">
        <f t="shared" si="4"/>
        <v>127</v>
      </c>
      <c r="H21" s="87">
        <f t="shared" si="4"/>
        <v>99</v>
      </c>
      <c r="I21" s="87">
        <f t="shared" ref="I21" si="5">I18-I20</f>
        <v>91</v>
      </c>
      <c r="J21" s="87"/>
      <c r="K21" s="87">
        <f>K18-K20</f>
        <v>227</v>
      </c>
      <c r="L21" s="87">
        <f>L18-L20</f>
        <v>190</v>
      </c>
      <c r="M21" s="87"/>
      <c r="N21" s="87">
        <f>N18-N20</f>
        <v>350</v>
      </c>
      <c r="O21" s="87">
        <f>O18-O20</f>
        <v>317</v>
      </c>
      <c r="P21" s="87"/>
      <c r="Q21" s="87">
        <f>Q18-Q20</f>
        <v>0</v>
      </c>
      <c r="R21" s="87">
        <f>R18-R20</f>
        <v>439</v>
      </c>
      <c r="S21" s="87">
        <f>S18-S20</f>
        <v>385</v>
      </c>
    </row>
    <row r="22" spans="1:19" ht="15.75" customHeight="1" x14ac:dyDescent="0.2">
      <c r="A22" s="33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x14ac:dyDescent="0.2">
      <c r="A23" s="20" t="s">
        <v>70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x14ac:dyDescent="0.2">
      <c r="A24" s="330" t="s">
        <v>404</v>
      </c>
      <c r="B24" s="17">
        <f>Q24-N24</f>
        <v>105</v>
      </c>
      <c r="C24" s="17">
        <f>N24-K24</f>
        <v>0</v>
      </c>
      <c r="D24" s="17">
        <f>K24-E24</f>
        <v>0</v>
      </c>
      <c r="E24" s="17">
        <v>-105</v>
      </c>
      <c r="F24" s="17">
        <f>R24-O24</f>
        <v>0</v>
      </c>
      <c r="G24" s="17">
        <f>O24-L24</f>
        <v>0</v>
      </c>
      <c r="H24" s="17">
        <f>L24-I24</f>
        <v>0</v>
      </c>
      <c r="I24" s="17">
        <v>0</v>
      </c>
      <c r="J24" s="17"/>
      <c r="K24" s="17">
        <v>-105</v>
      </c>
      <c r="L24" s="17">
        <v>0</v>
      </c>
      <c r="M24" s="17"/>
      <c r="N24" s="17">
        <v>-105</v>
      </c>
      <c r="O24" s="17">
        <v>0</v>
      </c>
      <c r="P24" s="17"/>
      <c r="Q24" s="17">
        <v>0</v>
      </c>
      <c r="R24" s="17">
        <v>0</v>
      </c>
      <c r="S24" s="17">
        <v>0</v>
      </c>
    </row>
    <row r="25" spans="1:19" x14ac:dyDescent="0.2">
      <c r="A25" s="297" t="s">
        <v>405</v>
      </c>
      <c r="B25" s="17">
        <f>Q25-N25</f>
        <v>-26</v>
      </c>
      <c r="C25" s="17">
        <f>N25-K25</f>
        <v>0</v>
      </c>
      <c r="D25" s="17">
        <f>K25-E25</f>
        <v>26</v>
      </c>
      <c r="E25" s="18">
        <v>0</v>
      </c>
      <c r="F25" s="17">
        <f>R25-O25</f>
        <v>0</v>
      </c>
      <c r="G25" s="17">
        <f>O25-L25</f>
        <v>0</v>
      </c>
      <c r="H25" s="17">
        <f>L25-I25</f>
        <v>0</v>
      </c>
      <c r="I25" s="18">
        <v>0</v>
      </c>
      <c r="J25" s="17"/>
      <c r="K25" s="18">
        <v>26</v>
      </c>
      <c r="L25" s="18">
        <v>0</v>
      </c>
      <c r="M25" s="17"/>
      <c r="N25" s="18">
        <v>26</v>
      </c>
      <c r="O25" s="18">
        <v>0</v>
      </c>
      <c r="P25" s="17"/>
      <c r="Q25" s="18">
        <v>0</v>
      </c>
      <c r="R25" s="18">
        <v>0</v>
      </c>
      <c r="S25" s="18">
        <v>0</v>
      </c>
    </row>
    <row r="26" spans="1:19" x14ac:dyDescent="0.2">
      <c r="A26" s="297" t="s">
        <v>406</v>
      </c>
      <c r="B26" s="17">
        <f>Q26-N26</f>
        <v>-6</v>
      </c>
      <c r="C26" s="17">
        <f>N26-K26</f>
        <v>-6</v>
      </c>
      <c r="D26" s="17">
        <f>K26-E26</f>
        <v>0</v>
      </c>
      <c r="E26" s="18">
        <v>12</v>
      </c>
      <c r="F26" s="17">
        <f>R26-O26</f>
        <v>5</v>
      </c>
      <c r="G26" s="17">
        <f>O26-L26</f>
        <v>8</v>
      </c>
      <c r="H26" s="17">
        <f>L26-I26</f>
        <v>7</v>
      </c>
      <c r="I26" s="18">
        <v>12</v>
      </c>
      <c r="J26" s="17"/>
      <c r="K26" s="18">
        <v>12</v>
      </c>
      <c r="L26" s="18">
        <v>19</v>
      </c>
      <c r="M26" s="17"/>
      <c r="N26" s="18">
        <v>6</v>
      </c>
      <c r="O26" s="18">
        <v>27</v>
      </c>
      <c r="P26" s="17"/>
      <c r="Q26" s="18">
        <v>0</v>
      </c>
      <c r="R26" s="18">
        <v>32</v>
      </c>
      <c r="S26" s="18">
        <v>138</v>
      </c>
    </row>
    <row r="27" spans="1:19" x14ac:dyDescent="0.2">
      <c r="A27" s="330" t="s">
        <v>71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x14ac:dyDescent="0.2">
      <c r="A28" s="419" t="s">
        <v>308</v>
      </c>
      <c r="B28" s="17">
        <f t="shared" ref="B28:B30" si="6">Q28-N28</f>
        <v>44</v>
      </c>
      <c r="C28" s="17">
        <v>-44</v>
      </c>
      <c r="D28" s="17">
        <f t="shared" ref="D28:D30" si="7">K28-E28</f>
        <v>0</v>
      </c>
      <c r="E28" s="17">
        <v>0</v>
      </c>
      <c r="F28" s="17">
        <f t="shared" ref="F28:F30" si="8">R28-O28</f>
        <v>0</v>
      </c>
      <c r="G28" s="17">
        <f t="shared" ref="G28:G30" si="9">O28-L28</f>
        <v>-15</v>
      </c>
      <c r="H28" s="17">
        <f t="shared" ref="H28:H30" si="10">L28-I28</f>
        <v>0</v>
      </c>
      <c r="I28" s="17">
        <v>0</v>
      </c>
      <c r="J28" s="17"/>
      <c r="K28" s="17">
        <v>0</v>
      </c>
      <c r="L28" s="17">
        <v>0</v>
      </c>
      <c r="M28" s="17"/>
      <c r="N28" s="17">
        <v>-44</v>
      </c>
      <c r="O28" s="17">
        <v>-15</v>
      </c>
      <c r="P28" s="17"/>
      <c r="Q28" s="17">
        <v>0</v>
      </c>
      <c r="R28" s="17">
        <v>-15</v>
      </c>
      <c r="S28" s="17">
        <v>-35</v>
      </c>
    </row>
    <row r="29" spans="1:19" x14ac:dyDescent="0.2">
      <c r="A29" s="419" t="s">
        <v>273</v>
      </c>
      <c r="B29" s="17">
        <f t="shared" si="6"/>
        <v>8</v>
      </c>
      <c r="C29" s="17">
        <v>-8</v>
      </c>
      <c r="D29" s="17">
        <f t="shared" si="7"/>
        <v>0</v>
      </c>
      <c r="E29" s="17">
        <v>0</v>
      </c>
      <c r="F29" s="17">
        <f t="shared" si="8"/>
        <v>0</v>
      </c>
      <c r="G29" s="17">
        <f t="shared" si="9"/>
        <v>-4</v>
      </c>
      <c r="H29" s="17">
        <f t="shared" si="10"/>
        <v>0</v>
      </c>
      <c r="I29" s="17">
        <v>0</v>
      </c>
      <c r="J29" s="17"/>
      <c r="K29" s="17">
        <v>0</v>
      </c>
      <c r="L29" s="17">
        <v>0</v>
      </c>
      <c r="M29" s="17"/>
      <c r="N29" s="17">
        <v>-8</v>
      </c>
      <c r="O29" s="17">
        <v>-4</v>
      </c>
      <c r="P29" s="17"/>
      <c r="Q29" s="17">
        <v>0</v>
      </c>
      <c r="R29" s="17">
        <v>-4</v>
      </c>
      <c r="S29" s="17">
        <v>-14</v>
      </c>
    </row>
    <row r="30" spans="1:19" hidden="1" x14ac:dyDescent="0.2">
      <c r="A30" s="330" t="s">
        <v>312</v>
      </c>
      <c r="B30" s="179">
        <f t="shared" si="6"/>
        <v>0</v>
      </c>
      <c r="C30" s="179">
        <f t="shared" ref="C30" si="11">N30-K30</f>
        <v>0</v>
      </c>
      <c r="D30" s="179">
        <f t="shared" si="7"/>
        <v>0</v>
      </c>
      <c r="E30" s="179">
        <v>0</v>
      </c>
      <c r="F30" s="179">
        <f t="shared" si="8"/>
        <v>0</v>
      </c>
      <c r="G30" s="179">
        <f t="shared" si="9"/>
        <v>0</v>
      </c>
      <c r="H30" s="179">
        <f t="shared" si="10"/>
        <v>0</v>
      </c>
      <c r="I30" s="179">
        <v>0</v>
      </c>
      <c r="J30" s="179"/>
      <c r="K30" s="179">
        <v>0</v>
      </c>
      <c r="L30" s="179">
        <v>0</v>
      </c>
      <c r="M30" s="179"/>
      <c r="N30" s="179">
        <v>0</v>
      </c>
      <c r="O30" s="179">
        <v>0</v>
      </c>
      <c r="P30" s="179"/>
      <c r="Q30" s="179">
        <v>0</v>
      </c>
      <c r="R30" s="179">
        <v>0</v>
      </c>
      <c r="S30" s="179">
        <v>-3</v>
      </c>
    </row>
    <row r="31" spans="1:19" ht="17.25" x14ac:dyDescent="0.35">
      <c r="A31" s="330" t="s">
        <v>5</v>
      </c>
      <c r="B31" s="469">
        <f t="shared" ref="B31" si="12">Q31-N31</f>
        <v>2</v>
      </c>
      <c r="C31" s="469">
        <f t="shared" ref="C31" si="13">N31-K31</f>
        <v>-2</v>
      </c>
      <c r="D31" s="469">
        <f t="shared" ref="D31" si="14">K31-E31</f>
        <v>0</v>
      </c>
      <c r="E31" s="469">
        <v>0</v>
      </c>
      <c r="F31" s="469">
        <f t="shared" ref="F31" si="15">R31-O31</f>
        <v>0</v>
      </c>
      <c r="G31" s="469">
        <f t="shared" ref="G31" si="16">O31-L31</f>
        <v>0</v>
      </c>
      <c r="H31" s="469">
        <f t="shared" ref="H31" si="17">L31-I31</f>
        <v>0</v>
      </c>
      <c r="I31" s="469">
        <v>0</v>
      </c>
      <c r="J31" s="469"/>
      <c r="K31" s="469">
        <v>0</v>
      </c>
      <c r="L31" s="469">
        <v>0</v>
      </c>
      <c r="M31" s="469"/>
      <c r="N31" s="469">
        <v>-2</v>
      </c>
      <c r="O31" s="469">
        <v>0</v>
      </c>
      <c r="P31" s="469"/>
      <c r="Q31" s="469">
        <v>0</v>
      </c>
      <c r="R31" s="469">
        <v>0</v>
      </c>
      <c r="S31" s="469">
        <v>0</v>
      </c>
    </row>
    <row r="32" spans="1:19" ht="18" x14ac:dyDescent="0.4">
      <c r="A32" s="331" t="s">
        <v>72</v>
      </c>
      <c r="B32" s="89">
        <f t="shared" ref="B32:I32" si="18">B21+SUM(B24:B31)</f>
        <v>-223</v>
      </c>
      <c r="C32" s="89">
        <f t="shared" si="18"/>
        <v>63</v>
      </c>
      <c r="D32" s="89">
        <f t="shared" si="18"/>
        <v>141</v>
      </c>
      <c r="E32" s="89">
        <f t="shared" si="18"/>
        <v>19</v>
      </c>
      <c r="F32" s="89">
        <f t="shared" si="18"/>
        <v>127</v>
      </c>
      <c r="G32" s="89">
        <f t="shared" si="18"/>
        <v>116</v>
      </c>
      <c r="H32" s="89">
        <f t="shared" si="18"/>
        <v>106</v>
      </c>
      <c r="I32" s="89">
        <f t="shared" si="18"/>
        <v>103</v>
      </c>
      <c r="J32" s="89"/>
      <c r="K32" s="89">
        <f>K21+SUM(K24:K31)</f>
        <v>160</v>
      </c>
      <c r="L32" s="89">
        <f>L21+SUM(L24:L31)</f>
        <v>209</v>
      </c>
      <c r="M32" s="91"/>
      <c r="N32" s="89">
        <f>N21+SUM(N24:N31)</f>
        <v>223</v>
      </c>
      <c r="O32" s="89">
        <f>O21+SUM(O24:O31)</f>
        <v>325</v>
      </c>
      <c r="P32" s="91"/>
      <c r="Q32" s="89">
        <f>Q21+SUM(Q24:Q31)</f>
        <v>0</v>
      </c>
      <c r="R32" s="89">
        <f>R21+SUM(R24:R31)</f>
        <v>452</v>
      </c>
      <c r="S32" s="89">
        <f>S21+SUM(S24:S31)</f>
        <v>471</v>
      </c>
    </row>
    <row r="33" spans="1:19" ht="15.75" customHeight="1" x14ac:dyDescent="0.2">
      <c r="A33" s="2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idden="1" x14ac:dyDescent="0.2">
      <c r="A34" s="414" t="s">
        <v>318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idden="1" x14ac:dyDescent="0.2">
      <c r="A35" s="414" t="s">
        <v>317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</row>
    <row r="36" spans="1:19" x14ac:dyDescent="0.2">
      <c r="A36" s="414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</row>
    <row r="37" spans="1:19" x14ac:dyDescent="0.2"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</row>
    <row r="38" spans="1:19" x14ac:dyDescent="0.2">
      <c r="A38" s="333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</row>
    <row r="39" spans="1:19" x14ac:dyDescent="0.2"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&amp;C4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0"/>
  <dimension ref="A1:S33"/>
  <sheetViews>
    <sheetView zoomScale="85" zoomScaleNormal="85" workbookViewId="0"/>
  </sheetViews>
  <sheetFormatPr defaultRowHeight="15" x14ac:dyDescent="0.2"/>
  <cols>
    <col min="1" max="1" width="50.77734375" style="179" customWidth="1"/>
    <col min="2" max="2" width="10.77734375" style="18" hidden="1" customWidth="1"/>
    <col min="3" max="7" width="10.77734375" style="18" customWidth="1"/>
    <col min="8" max="9" width="10.77734375" style="18" hidden="1" customWidth="1"/>
    <col min="10" max="10" width="1.77734375" style="18" customWidth="1"/>
    <col min="11" max="12" width="10.77734375" style="18" hidden="1" customWidth="1"/>
    <col min="13" max="13" width="1.77734375" style="18" hidden="1" customWidth="1"/>
    <col min="14" max="15" width="10.77734375" style="18" customWidth="1"/>
    <col min="16" max="16" width="1.77734375" style="18" hidden="1" customWidth="1"/>
    <col min="17" max="19" width="10.77734375" style="18" hidden="1" customWidth="1"/>
    <col min="20" max="16384" width="8.88671875" style="179"/>
  </cols>
  <sheetData>
    <row r="1" spans="1:19" s="172" customFormat="1" ht="18" x14ac:dyDescent="0.25">
      <c r="A1" s="173" t="str">
        <f>'Cover Page'!$H$10</f>
        <v>American Financial Group, Inc.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19" s="172" customFormat="1" ht="18" x14ac:dyDescent="0.25">
      <c r="A2" s="173" t="s">
        <v>152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19" s="172" customFormat="1" ht="18" x14ac:dyDescent="0.25">
      <c r="A3" s="16" t="s">
        <v>173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spans="1:19" ht="15.75" x14ac:dyDescent="0.25">
      <c r="A4" s="15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ht="15.75" x14ac:dyDescent="0.25">
      <c r="A5" s="15"/>
      <c r="B5" s="145" t="s">
        <v>2</v>
      </c>
      <c r="C5" s="145" t="s">
        <v>2</v>
      </c>
      <c r="D5" s="145"/>
      <c r="E5" s="145"/>
      <c r="F5" s="146"/>
      <c r="G5" s="146"/>
      <c r="H5" s="146"/>
      <c r="I5" s="146"/>
      <c r="J5" s="87"/>
      <c r="K5" s="145" t="s">
        <v>6</v>
      </c>
      <c r="L5" s="146"/>
      <c r="M5" s="21"/>
      <c r="N5" s="145" t="s">
        <v>7</v>
      </c>
      <c r="O5" s="146"/>
      <c r="P5" s="87"/>
      <c r="Q5" s="145" t="s">
        <v>3</v>
      </c>
      <c r="R5" s="145" t="s">
        <v>3</v>
      </c>
      <c r="S5" s="146"/>
    </row>
    <row r="6" spans="1:19" ht="20.25" x14ac:dyDescent="0.55000000000000004">
      <c r="A6" s="15"/>
      <c r="B6" s="69" t="s">
        <v>384</v>
      </c>
      <c r="C6" s="69" t="s">
        <v>385</v>
      </c>
      <c r="D6" s="69" t="s">
        <v>386</v>
      </c>
      <c r="E6" s="69" t="s">
        <v>387</v>
      </c>
      <c r="F6" s="69" t="s">
        <v>322</v>
      </c>
      <c r="G6" s="69" t="s">
        <v>323</v>
      </c>
      <c r="H6" s="69" t="s">
        <v>324</v>
      </c>
      <c r="I6" s="69" t="s">
        <v>325</v>
      </c>
      <c r="J6" s="21"/>
      <c r="K6" s="69" t="s">
        <v>386</v>
      </c>
      <c r="L6" s="69" t="s">
        <v>324</v>
      </c>
      <c r="M6" s="21"/>
      <c r="N6" s="69" t="s">
        <v>385</v>
      </c>
      <c r="O6" s="69" t="s">
        <v>323</v>
      </c>
      <c r="P6" s="70"/>
      <c r="Q6" s="69" t="s">
        <v>384</v>
      </c>
      <c r="R6" s="69" t="s">
        <v>322</v>
      </c>
      <c r="S6" s="69" t="s">
        <v>117</v>
      </c>
    </row>
    <row r="7" spans="1:19" x14ac:dyDescent="0.2">
      <c r="A7" s="20"/>
      <c r="B7" s="17"/>
      <c r="C7" s="17"/>
      <c r="D7" s="17"/>
      <c r="E7" s="17"/>
      <c r="F7" s="17"/>
      <c r="G7" s="17"/>
      <c r="H7" s="17"/>
      <c r="I7" s="17"/>
      <c r="J7" s="17"/>
      <c r="K7" s="52"/>
      <c r="L7" s="52"/>
      <c r="M7" s="17"/>
      <c r="N7" s="52"/>
      <c r="O7" s="52"/>
      <c r="P7" s="17"/>
      <c r="Q7" s="52"/>
      <c r="R7" s="52"/>
      <c r="S7" s="52"/>
    </row>
    <row r="8" spans="1:19" s="185" customFormat="1" ht="15.75" customHeight="1" x14ac:dyDescent="0.4">
      <c r="A8" s="329" t="s">
        <v>69</v>
      </c>
      <c r="B8" s="346">
        <f>'Pg 4 Earnings'!B21</f>
        <v>-350</v>
      </c>
      <c r="C8" s="346">
        <f>'Pg 4 Earnings'!C21</f>
        <v>123</v>
      </c>
      <c r="D8" s="346">
        <f>'Pg 4 Earnings'!D21</f>
        <v>115</v>
      </c>
      <c r="E8" s="346">
        <f>'Pg 4 Earnings'!E21</f>
        <v>112</v>
      </c>
      <c r="F8" s="346">
        <f>'Pg 4 Earnings'!F21</f>
        <v>122</v>
      </c>
      <c r="G8" s="346">
        <f>'Pg 4 Earnings'!G21</f>
        <v>127</v>
      </c>
      <c r="H8" s="346">
        <f>'Pg 4 Earnings'!H21</f>
        <v>99</v>
      </c>
      <c r="I8" s="346">
        <f>'Pg 4 Earnings'!I21</f>
        <v>91</v>
      </c>
      <c r="J8" s="346"/>
      <c r="K8" s="346">
        <f>'Pg 4 Earnings'!K21</f>
        <v>227</v>
      </c>
      <c r="L8" s="346">
        <f>'Pg 4 Earnings'!L21</f>
        <v>190</v>
      </c>
      <c r="M8" s="346"/>
      <c r="N8" s="346">
        <f>'Pg 4 Earnings'!N21</f>
        <v>350</v>
      </c>
      <c r="O8" s="346">
        <f>'Pg 4 Earnings'!O21</f>
        <v>317</v>
      </c>
      <c r="P8" s="346"/>
      <c r="Q8" s="346">
        <f>'Pg 4 Earnings'!Q21</f>
        <v>0</v>
      </c>
      <c r="R8" s="346">
        <f>'Pg 4 Earnings'!R21</f>
        <v>439</v>
      </c>
      <c r="S8" s="346">
        <f>'Pg 4 Earnings'!S21</f>
        <v>385</v>
      </c>
    </row>
    <row r="9" spans="1:19" ht="15.75" customHeight="1" x14ac:dyDescent="0.2">
      <c r="A9" s="33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185" customFormat="1" ht="15.75" customHeight="1" x14ac:dyDescent="0.4">
      <c r="A10" s="329" t="s">
        <v>72</v>
      </c>
      <c r="B10" s="346">
        <f>'Pg 4 Earnings'!B32</f>
        <v>-223</v>
      </c>
      <c r="C10" s="346">
        <f>'Pg 4 Earnings'!C32</f>
        <v>63</v>
      </c>
      <c r="D10" s="346">
        <f>'Pg 4 Earnings'!D32</f>
        <v>141</v>
      </c>
      <c r="E10" s="346">
        <f>'Pg 4 Earnings'!E32</f>
        <v>19</v>
      </c>
      <c r="F10" s="346">
        <f>'Pg 4 Earnings'!F32</f>
        <v>127</v>
      </c>
      <c r="G10" s="346">
        <f>'Pg 4 Earnings'!G32</f>
        <v>116</v>
      </c>
      <c r="H10" s="346">
        <f>'Pg 4 Earnings'!H32</f>
        <v>106</v>
      </c>
      <c r="I10" s="346">
        <f>'Pg 4 Earnings'!I32</f>
        <v>103</v>
      </c>
      <c r="J10" s="346"/>
      <c r="K10" s="346">
        <f>'Pg 4 Earnings'!K32</f>
        <v>160</v>
      </c>
      <c r="L10" s="346">
        <f>'Pg 4 Earnings'!L32</f>
        <v>209</v>
      </c>
      <c r="M10" s="346"/>
      <c r="N10" s="346">
        <f>'Pg 4 Earnings'!N32</f>
        <v>223</v>
      </c>
      <c r="O10" s="346">
        <f>'Pg 4 Earnings'!O32</f>
        <v>325</v>
      </c>
      <c r="P10" s="346"/>
      <c r="Q10" s="346">
        <f>'Pg 4 Earnings'!Q32</f>
        <v>0</v>
      </c>
      <c r="R10" s="346">
        <f>'Pg 4 Earnings'!R32</f>
        <v>452</v>
      </c>
      <c r="S10" s="346">
        <f>'Pg 4 Earnings'!S32</f>
        <v>471</v>
      </c>
    </row>
    <row r="11" spans="1:19" ht="15.75" customHeight="1" x14ac:dyDescent="0.2">
      <c r="A11" s="33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x14ac:dyDescent="0.2">
      <c r="A12" s="20" t="s">
        <v>73</v>
      </c>
      <c r="B12" s="60">
        <v>0</v>
      </c>
      <c r="C12" s="60">
        <v>89.343000000000004</v>
      </c>
      <c r="D12" s="60">
        <v>89.503</v>
      </c>
      <c r="E12" s="60">
        <v>89.376999999999995</v>
      </c>
      <c r="F12" s="60">
        <v>89.772000000000006</v>
      </c>
      <c r="G12" s="60">
        <v>90.873000000000005</v>
      </c>
      <c r="H12" s="60">
        <v>91.593000000000004</v>
      </c>
      <c r="I12" s="60">
        <v>91.620999999999995</v>
      </c>
      <c r="J12" s="60"/>
      <c r="K12" s="60">
        <v>89.44</v>
      </c>
      <c r="L12" s="60">
        <v>91.606999999999999</v>
      </c>
      <c r="M12" s="61"/>
      <c r="N12" s="60">
        <v>89.406999999999996</v>
      </c>
      <c r="O12" s="60">
        <v>91.36</v>
      </c>
      <c r="P12" s="61"/>
      <c r="Q12" s="60">
        <v>0</v>
      </c>
      <c r="R12" s="60">
        <v>90.96</v>
      </c>
      <c r="S12" s="60">
        <v>91.242000000000004</v>
      </c>
    </row>
    <row r="13" spans="1:19" ht="15.75" customHeight="1" x14ac:dyDescent="0.2">
      <c r="A13" s="33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x14ac:dyDescent="0.2">
      <c r="A14" s="216" t="s">
        <v>233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x14ac:dyDescent="0.25">
      <c r="A15" s="332" t="s">
        <v>63</v>
      </c>
      <c r="B15" s="121">
        <v>0</v>
      </c>
      <c r="C15" s="121">
        <v>1.38</v>
      </c>
      <c r="D15" s="121">
        <v>1.28</v>
      </c>
      <c r="E15" s="121">
        <v>1.25</v>
      </c>
      <c r="F15" s="121">
        <v>1.35</v>
      </c>
      <c r="G15" s="121">
        <v>1.4</v>
      </c>
      <c r="H15" s="121">
        <v>1.07</v>
      </c>
      <c r="I15" s="121">
        <v>1</v>
      </c>
      <c r="J15" s="121"/>
      <c r="K15" s="121">
        <v>2.54</v>
      </c>
      <c r="L15" s="121">
        <v>2.0699999999999998</v>
      </c>
      <c r="M15" s="336"/>
      <c r="N15" s="121">
        <v>3.92</v>
      </c>
      <c r="O15" s="121">
        <v>3.47</v>
      </c>
      <c r="P15" s="336"/>
      <c r="Q15" s="121">
        <v>0</v>
      </c>
      <c r="R15" s="121">
        <v>4.82</v>
      </c>
      <c r="S15" s="121">
        <v>4.22</v>
      </c>
    </row>
    <row r="16" spans="1:19" ht="15.75" x14ac:dyDescent="0.25">
      <c r="A16" s="332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336"/>
      <c r="N16" s="121"/>
      <c r="O16" s="121"/>
      <c r="P16" s="336"/>
      <c r="Q16" s="121"/>
      <c r="R16" s="121"/>
      <c r="S16" s="121"/>
    </row>
    <row r="17" spans="1:19" x14ac:dyDescent="0.2">
      <c r="A17" s="330" t="s">
        <v>404</v>
      </c>
      <c r="B17" s="2">
        <v>0</v>
      </c>
      <c r="C17" s="2">
        <v>0</v>
      </c>
      <c r="D17" s="2">
        <v>0</v>
      </c>
      <c r="E17" s="2">
        <v>-1.18</v>
      </c>
      <c r="F17" s="2">
        <v>0</v>
      </c>
      <c r="G17" s="2">
        <v>0</v>
      </c>
      <c r="H17" s="2">
        <v>0</v>
      </c>
      <c r="I17" s="2">
        <v>0</v>
      </c>
      <c r="J17" s="2"/>
      <c r="K17" s="2">
        <v>-1.18</v>
      </c>
      <c r="L17" s="2">
        <v>0</v>
      </c>
      <c r="M17" s="337"/>
      <c r="N17" s="2">
        <v>-1.18</v>
      </c>
      <c r="O17" s="2">
        <v>0</v>
      </c>
      <c r="P17" s="337"/>
      <c r="Q17" s="2">
        <v>0</v>
      </c>
      <c r="R17" s="2">
        <v>0</v>
      </c>
      <c r="S17" s="2">
        <v>0</v>
      </c>
    </row>
    <row r="18" spans="1:19" x14ac:dyDescent="0.2">
      <c r="A18" s="297" t="s">
        <v>405</v>
      </c>
      <c r="B18" s="2">
        <v>0</v>
      </c>
      <c r="C18" s="2">
        <v>0</v>
      </c>
      <c r="D18" s="2">
        <v>0.28999999999999998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/>
      <c r="K18" s="2">
        <v>0.28999999999999998</v>
      </c>
      <c r="L18" s="2">
        <v>0</v>
      </c>
      <c r="M18" s="338"/>
      <c r="N18" s="2">
        <v>0.28999999999999998</v>
      </c>
      <c r="O18" s="2">
        <v>0</v>
      </c>
      <c r="P18" s="338"/>
      <c r="Q18" s="2">
        <v>0</v>
      </c>
      <c r="R18" s="2">
        <v>0</v>
      </c>
      <c r="S18" s="2">
        <v>0</v>
      </c>
    </row>
    <row r="19" spans="1:19" x14ac:dyDescent="0.2">
      <c r="A19" s="297" t="s">
        <v>406</v>
      </c>
      <c r="B19" s="2">
        <v>0</v>
      </c>
      <c r="C19" s="2">
        <v>-0.06</v>
      </c>
      <c r="D19" s="2">
        <v>0</v>
      </c>
      <c r="E19" s="2">
        <v>0.14000000000000001</v>
      </c>
      <c r="F19" s="2">
        <v>0.06</v>
      </c>
      <c r="G19" s="2">
        <v>0.09</v>
      </c>
      <c r="H19" s="2">
        <v>0.08</v>
      </c>
      <c r="I19" s="2">
        <v>0.13</v>
      </c>
      <c r="J19" s="2"/>
      <c r="K19" s="2">
        <v>0.14000000000000001</v>
      </c>
      <c r="L19" s="2">
        <v>0.21</v>
      </c>
      <c r="M19" s="338"/>
      <c r="N19" s="2">
        <v>7.0000000000000007E-2</v>
      </c>
      <c r="O19" s="2">
        <v>0.3</v>
      </c>
      <c r="P19" s="338"/>
      <c r="Q19" s="2">
        <v>0</v>
      </c>
      <c r="R19" s="2">
        <v>0.36</v>
      </c>
      <c r="S19" s="2">
        <v>1.52</v>
      </c>
    </row>
    <row r="20" spans="1:19" x14ac:dyDescent="0.2">
      <c r="A20" s="330" t="s">
        <v>71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37"/>
      <c r="N20" s="2"/>
      <c r="O20" s="2"/>
      <c r="P20" s="337"/>
      <c r="Q20" s="2"/>
      <c r="R20" s="2"/>
      <c r="S20" s="2"/>
    </row>
    <row r="21" spans="1:19" x14ac:dyDescent="0.2">
      <c r="A21" s="419" t="s">
        <v>309</v>
      </c>
      <c r="B21" s="2">
        <v>0</v>
      </c>
      <c r="C21" s="2">
        <v>-0.49</v>
      </c>
      <c r="D21" s="2">
        <v>0</v>
      </c>
      <c r="E21" s="2">
        <v>0</v>
      </c>
      <c r="F21" s="2">
        <v>0</v>
      </c>
      <c r="G21" s="2">
        <v>-0.17</v>
      </c>
      <c r="H21" s="2">
        <v>0</v>
      </c>
      <c r="I21" s="2">
        <v>0</v>
      </c>
      <c r="J21" s="2"/>
      <c r="K21" s="2">
        <v>0</v>
      </c>
      <c r="L21" s="2">
        <v>0</v>
      </c>
      <c r="M21" s="339"/>
      <c r="N21" s="2">
        <v>-0.49</v>
      </c>
      <c r="O21" s="2">
        <v>-0.17</v>
      </c>
      <c r="P21" s="339"/>
      <c r="Q21" s="2">
        <v>0</v>
      </c>
      <c r="R21" s="2">
        <v>-0.17</v>
      </c>
      <c r="S21" s="2">
        <v>-0.39</v>
      </c>
    </row>
    <row r="22" spans="1:19" x14ac:dyDescent="0.2">
      <c r="A22" s="419" t="s">
        <v>274</v>
      </c>
      <c r="B22" s="2">
        <v>0</v>
      </c>
      <c r="C22" s="2">
        <v>-0.09</v>
      </c>
      <c r="D22" s="2">
        <v>0</v>
      </c>
      <c r="E22" s="2">
        <v>0</v>
      </c>
      <c r="F22" s="2">
        <v>0</v>
      </c>
      <c r="G22" s="2">
        <v>-0.04</v>
      </c>
      <c r="H22" s="2">
        <v>0</v>
      </c>
      <c r="I22" s="2">
        <v>0</v>
      </c>
      <c r="J22" s="2"/>
      <c r="K22" s="2">
        <v>0</v>
      </c>
      <c r="L22" s="2">
        <v>0</v>
      </c>
      <c r="M22" s="339"/>
      <c r="N22" s="2">
        <v>-0.09</v>
      </c>
      <c r="O22" s="2">
        <v>-0.04</v>
      </c>
      <c r="P22" s="339"/>
      <c r="Q22" s="2">
        <v>0</v>
      </c>
      <c r="R22" s="2">
        <v>-0.04</v>
      </c>
      <c r="S22" s="2">
        <v>-0.15</v>
      </c>
    </row>
    <row r="23" spans="1:19" hidden="1" x14ac:dyDescent="0.2">
      <c r="A23" s="330" t="s">
        <v>312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/>
      <c r="K23" s="2">
        <v>0</v>
      </c>
      <c r="L23" s="2">
        <v>0</v>
      </c>
      <c r="M23" s="337"/>
      <c r="N23" s="2">
        <v>0</v>
      </c>
      <c r="O23" s="2">
        <v>0</v>
      </c>
      <c r="P23" s="337"/>
      <c r="Q23" s="2">
        <v>0</v>
      </c>
      <c r="R23" s="2">
        <v>0</v>
      </c>
      <c r="S23" s="2">
        <v>-0.04</v>
      </c>
    </row>
    <row r="24" spans="1:19" ht="17.25" x14ac:dyDescent="0.35">
      <c r="A24" s="330" t="s">
        <v>5</v>
      </c>
      <c r="B24" s="3">
        <v>0</v>
      </c>
      <c r="C24" s="3">
        <v>-0.03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/>
      <c r="K24" s="3">
        <v>0</v>
      </c>
      <c r="L24" s="3">
        <v>0</v>
      </c>
      <c r="M24" s="490"/>
      <c r="N24" s="3">
        <v>-0.03</v>
      </c>
      <c r="O24" s="3">
        <v>0</v>
      </c>
      <c r="P24" s="490"/>
      <c r="Q24" s="3">
        <v>0</v>
      </c>
      <c r="R24" s="3">
        <v>0</v>
      </c>
      <c r="S24" s="3">
        <v>0</v>
      </c>
    </row>
    <row r="25" spans="1:19" ht="18" x14ac:dyDescent="0.4">
      <c r="A25" s="332" t="s">
        <v>64</v>
      </c>
      <c r="B25" s="83">
        <f t="shared" ref="B25:I25" si="0">SUM(B15:B24)</f>
        <v>0</v>
      </c>
      <c r="C25" s="83">
        <f t="shared" si="0"/>
        <v>0.70999999999999985</v>
      </c>
      <c r="D25" s="83">
        <f t="shared" si="0"/>
        <v>1.57</v>
      </c>
      <c r="E25" s="83">
        <f t="shared" si="0"/>
        <v>0.21000000000000008</v>
      </c>
      <c r="F25" s="83">
        <f t="shared" si="0"/>
        <v>1.4100000000000001</v>
      </c>
      <c r="G25" s="83">
        <f t="shared" si="0"/>
        <v>1.28</v>
      </c>
      <c r="H25" s="83">
        <f t="shared" si="0"/>
        <v>1.1500000000000001</v>
      </c>
      <c r="I25" s="83">
        <f t="shared" si="0"/>
        <v>1.1299999999999999</v>
      </c>
      <c r="J25" s="83"/>
      <c r="K25" s="83">
        <f>SUM(K15:K24)</f>
        <v>1.79</v>
      </c>
      <c r="L25" s="83">
        <f>SUM(L15:L24)</f>
        <v>2.2799999999999998</v>
      </c>
      <c r="M25" s="336"/>
      <c r="N25" s="83">
        <f>SUM(N15:N24)</f>
        <v>2.4900000000000007</v>
      </c>
      <c r="O25" s="83">
        <f>SUM(O15:O24)</f>
        <v>3.56</v>
      </c>
      <c r="P25" s="336"/>
      <c r="Q25" s="83">
        <f t="shared" ref="Q25:S25" si="1">SUM(Q15:Q24)</f>
        <v>0</v>
      </c>
      <c r="R25" s="83">
        <f t="shared" si="1"/>
        <v>4.9700000000000006</v>
      </c>
      <c r="S25" s="83">
        <f t="shared" si="1"/>
        <v>5.16</v>
      </c>
    </row>
    <row r="26" spans="1:19" ht="17.25" x14ac:dyDescent="0.35">
      <c r="A26" s="20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</row>
    <row r="27" spans="1:19" hidden="1" x14ac:dyDescent="0.2">
      <c r="A27" s="463" t="s">
        <v>318</v>
      </c>
    </row>
    <row r="28" spans="1:19" hidden="1" x14ac:dyDescent="0.2">
      <c r="A28" s="20" t="s">
        <v>317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x14ac:dyDescent="0.2">
      <c r="A29" s="333"/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493"/>
      <c r="O29" s="334"/>
      <c r="P29" s="334"/>
      <c r="Q29" s="334"/>
      <c r="R29" s="334"/>
      <c r="S29" s="334"/>
    </row>
    <row r="30" spans="1:19" x14ac:dyDescent="0.2">
      <c r="A30" s="333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</row>
    <row r="31" spans="1:19" x14ac:dyDescent="0.2"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</row>
    <row r="32" spans="1:19" x14ac:dyDescent="0.2">
      <c r="A32" s="333"/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</row>
    <row r="33" spans="2:19" x14ac:dyDescent="0.2"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&amp;C5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1"/>
  <dimension ref="A1:V47"/>
  <sheetViews>
    <sheetView zoomScale="85" zoomScaleNormal="85" workbookViewId="0"/>
  </sheetViews>
  <sheetFormatPr defaultRowHeight="16.5" customHeight="1" x14ac:dyDescent="0.25"/>
  <cols>
    <col min="1" max="1" width="55.77734375" style="143" customWidth="1"/>
    <col min="2" max="2" width="10.77734375" style="96" hidden="1" customWidth="1"/>
    <col min="3" max="7" width="10.77734375" style="96" customWidth="1"/>
    <col min="8" max="9" width="10.77734375" style="96" hidden="1" customWidth="1"/>
    <col min="10" max="10" width="1.77734375" style="96" customWidth="1"/>
    <col min="11" max="12" width="10.88671875" style="96" hidden="1" customWidth="1"/>
    <col min="13" max="13" width="1.77734375" style="96" hidden="1" customWidth="1"/>
    <col min="14" max="15" width="10.77734375" style="96" customWidth="1"/>
    <col min="16" max="16" width="1.88671875" style="96" hidden="1" customWidth="1"/>
    <col min="17" max="19" width="10.77734375" style="96" hidden="1" customWidth="1"/>
    <col min="20" max="21" width="8.88671875" style="168"/>
    <col min="22" max="22" width="9.77734375" style="96" customWidth="1"/>
    <col min="23" max="16384" width="8.88671875" style="143"/>
  </cols>
  <sheetData>
    <row r="1" spans="1:22" s="135" customFormat="1" ht="18" x14ac:dyDescent="0.25">
      <c r="A1" s="131" t="str">
        <f>'Cover Page'!$H$10</f>
        <v>American Financial Group, Inc.</v>
      </c>
      <c r="B1" s="132"/>
      <c r="C1" s="132"/>
      <c r="D1" s="132"/>
      <c r="E1" s="132"/>
      <c r="F1" s="132"/>
      <c r="G1" s="132"/>
      <c r="H1" s="132"/>
      <c r="I1" s="132"/>
      <c r="J1" s="133"/>
      <c r="K1" s="132"/>
      <c r="L1" s="134"/>
      <c r="M1" s="133"/>
      <c r="N1" s="133"/>
      <c r="O1" s="133"/>
      <c r="P1" s="133"/>
      <c r="Q1" s="133"/>
      <c r="R1" s="133"/>
      <c r="S1" s="133"/>
      <c r="V1" s="136"/>
    </row>
    <row r="2" spans="1:22" s="135" customFormat="1" ht="18" x14ac:dyDescent="0.25">
      <c r="A2" s="131" t="s">
        <v>241</v>
      </c>
      <c r="B2" s="132"/>
      <c r="C2" s="132"/>
      <c r="D2" s="132"/>
      <c r="E2" s="132"/>
      <c r="F2" s="132"/>
      <c r="G2" s="132"/>
      <c r="H2" s="132"/>
      <c r="I2" s="132"/>
      <c r="J2" s="133"/>
      <c r="K2" s="132"/>
      <c r="L2" s="134"/>
      <c r="M2" s="133"/>
      <c r="N2" s="133"/>
      <c r="O2" s="133"/>
      <c r="P2" s="133"/>
      <c r="Q2" s="133"/>
      <c r="R2" s="133"/>
      <c r="S2" s="133"/>
      <c r="V2" s="136"/>
    </row>
    <row r="3" spans="1:22" s="135" customFormat="1" ht="18" x14ac:dyDescent="0.25">
      <c r="A3" s="16" t="s">
        <v>14</v>
      </c>
      <c r="B3" s="132"/>
      <c r="C3" s="132"/>
      <c r="D3" s="132"/>
      <c r="E3" s="132"/>
      <c r="F3" s="132"/>
      <c r="G3" s="132"/>
      <c r="H3" s="132"/>
      <c r="I3" s="132"/>
      <c r="J3" s="133"/>
      <c r="K3" s="132"/>
      <c r="L3" s="134"/>
      <c r="M3" s="133"/>
      <c r="N3" s="133"/>
      <c r="O3" s="133"/>
      <c r="P3" s="133"/>
      <c r="Q3" s="133"/>
      <c r="R3" s="133"/>
      <c r="S3" s="133"/>
      <c r="V3" s="136"/>
    </row>
    <row r="4" spans="1:22" ht="15.75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9"/>
      <c r="K4" s="138"/>
      <c r="L4" s="140"/>
      <c r="M4" s="139"/>
      <c r="N4" s="139"/>
      <c r="O4" s="141"/>
      <c r="P4" s="139"/>
      <c r="Q4" s="139"/>
      <c r="R4" s="141"/>
      <c r="S4" s="141"/>
      <c r="T4" s="142"/>
      <c r="U4" s="142"/>
    </row>
    <row r="5" spans="1:22" ht="15.75" x14ac:dyDescent="0.25">
      <c r="A5" s="144"/>
      <c r="B5" s="145" t="s">
        <v>2</v>
      </c>
      <c r="C5" s="145" t="s">
        <v>2</v>
      </c>
      <c r="D5" s="145"/>
      <c r="E5" s="145"/>
      <c r="F5" s="146"/>
      <c r="G5" s="146"/>
      <c r="H5" s="146"/>
      <c r="I5" s="146"/>
      <c r="J5" s="147"/>
      <c r="K5" s="148" t="s">
        <v>6</v>
      </c>
      <c r="L5" s="149"/>
      <c r="M5" s="147"/>
      <c r="N5" s="148" t="s">
        <v>7</v>
      </c>
      <c r="O5" s="149"/>
      <c r="P5" s="147"/>
      <c r="Q5" s="148" t="s">
        <v>3</v>
      </c>
      <c r="R5" s="148" t="s">
        <v>3</v>
      </c>
      <c r="S5" s="148"/>
      <c r="T5" s="142"/>
      <c r="U5" s="142"/>
    </row>
    <row r="6" spans="1:22" ht="20.25" x14ac:dyDescent="0.55000000000000004">
      <c r="A6" s="150"/>
      <c r="B6" s="69" t="s">
        <v>384</v>
      </c>
      <c r="C6" s="69" t="s">
        <v>385</v>
      </c>
      <c r="D6" s="69" t="s">
        <v>386</v>
      </c>
      <c r="E6" s="69" t="s">
        <v>387</v>
      </c>
      <c r="F6" s="69" t="s">
        <v>322</v>
      </c>
      <c r="G6" s="69" t="s">
        <v>323</v>
      </c>
      <c r="H6" s="69" t="s">
        <v>324</v>
      </c>
      <c r="I6" s="69" t="s">
        <v>325</v>
      </c>
      <c r="J6" s="84"/>
      <c r="K6" s="84" t="s">
        <v>386</v>
      </c>
      <c r="L6" s="84" t="s">
        <v>324</v>
      </c>
      <c r="M6" s="84"/>
      <c r="N6" s="84" t="s">
        <v>385</v>
      </c>
      <c r="O6" s="84" t="s">
        <v>323</v>
      </c>
      <c r="P6" s="84"/>
      <c r="Q6" s="84" t="s">
        <v>384</v>
      </c>
      <c r="R6" s="84" t="s">
        <v>322</v>
      </c>
      <c r="S6" s="84" t="s">
        <v>117</v>
      </c>
      <c r="T6" s="142"/>
      <c r="U6" s="142"/>
    </row>
    <row r="7" spans="1:22" ht="15.75" x14ac:dyDescent="0.25">
      <c r="A7" s="150"/>
      <c r="B7" s="17"/>
      <c r="C7" s="17"/>
      <c r="D7" s="17"/>
      <c r="E7" s="17"/>
      <c r="F7" s="17"/>
      <c r="G7" s="17"/>
      <c r="H7" s="17"/>
      <c r="I7" s="17"/>
      <c r="J7" s="151"/>
      <c r="K7" s="93"/>
      <c r="L7" s="93"/>
      <c r="M7" s="151"/>
      <c r="N7" s="93"/>
      <c r="O7" s="93"/>
      <c r="P7" s="151"/>
      <c r="Q7" s="93"/>
      <c r="R7" s="93"/>
      <c r="S7" s="93"/>
      <c r="T7" s="142"/>
      <c r="U7" s="142"/>
    </row>
    <row r="8" spans="1:22" ht="15.75" x14ac:dyDescent="0.25">
      <c r="A8" s="47" t="s">
        <v>275</v>
      </c>
      <c r="B8" s="44">
        <f>'Pg 8 P&amp;C_P&amp;T_UW'!B16</f>
        <v>-14</v>
      </c>
      <c r="C8" s="44">
        <f>'Pg 8 P&amp;C_P&amp;T_UW'!C16</f>
        <v>20</v>
      </c>
      <c r="D8" s="44">
        <f>'Pg 8 P&amp;C_P&amp;T_UW'!D16</f>
        <v>-13</v>
      </c>
      <c r="E8" s="44">
        <f>'Pg 8 P&amp;C_P&amp;T_UW'!E16</f>
        <v>7</v>
      </c>
      <c r="F8" s="44">
        <f>'Pg 8 P&amp;C_P&amp;T_UW'!F16</f>
        <v>22</v>
      </c>
      <c r="G8" s="44">
        <f>'Pg 8 P&amp;C_P&amp;T_UW'!G16</f>
        <v>11</v>
      </c>
      <c r="H8" s="44">
        <f>'Pg 8 P&amp;C_P&amp;T_UW'!H16</f>
        <v>-18</v>
      </c>
      <c r="I8" s="44">
        <f>'Pg 8 P&amp;C_P&amp;T_UW'!I16</f>
        <v>6</v>
      </c>
      <c r="J8" s="45"/>
      <c r="K8" s="44">
        <f>'Pg 8 P&amp;C_P&amp;T_UW'!K16</f>
        <v>-6</v>
      </c>
      <c r="L8" s="44">
        <f>'Pg 8 P&amp;C_P&amp;T_UW'!L16</f>
        <v>-12</v>
      </c>
      <c r="M8" s="45"/>
      <c r="N8" s="44">
        <f>'Pg 8 P&amp;C_P&amp;T_UW'!N16</f>
        <v>14</v>
      </c>
      <c r="O8" s="44">
        <f>'Pg 8 P&amp;C_P&amp;T_UW'!O16</f>
        <v>-1</v>
      </c>
      <c r="P8" s="45"/>
      <c r="Q8" s="44">
        <f>'Pg 8 P&amp;C_P&amp;T_UW'!Q16</f>
        <v>0</v>
      </c>
      <c r="R8" s="44">
        <f>'Pg 8 P&amp;C_P&amp;T_UW'!R16</f>
        <v>21</v>
      </c>
      <c r="S8" s="44">
        <f>'Pg 8 P&amp;C_P&amp;T_UW'!S16</f>
        <v>12</v>
      </c>
      <c r="T8" s="142"/>
      <c r="U8" s="142"/>
    </row>
    <row r="9" spans="1:22" ht="15.75" x14ac:dyDescent="0.25">
      <c r="A9" s="47" t="s">
        <v>276</v>
      </c>
      <c r="B9" s="47">
        <f>'Pg 9 P&amp;C_SC_UW'!B16</f>
        <v>-96</v>
      </c>
      <c r="C9" s="47">
        <f>'Pg 9 P&amp;C_SC_UW'!C16</f>
        <v>31</v>
      </c>
      <c r="D9" s="47">
        <f>'Pg 9 P&amp;C_SC_UW'!D16</f>
        <v>37</v>
      </c>
      <c r="E9" s="47">
        <f>'Pg 9 P&amp;C_SC_UW'!E16</f>
        <v>28</v>
      </c>
      <c r="F9" s="47">
        <f>'Pg 9 P&amp;C_SC_UW'!F16</f>
        <v>36</v>
      </c>
      <c r="G9" s="47">
        <f>'Pg 9 P&amp;C_SC_UW'!G16</f>
        <v>32</v>
      </c>
      <c r="H9" s="47">
        <f>'Pg 9 P&amp;C_SC_UW'!H16</f>
        <v>30</v>
      </c>
      <c r="I9" s="47">
        <f>'Pg 9 P&amp;C_SC_UW'!I16</f>
        <v>38</v>
      </c>
      <c r="K9" s="47">
        <f>'Pg 9 P&amp;C_SC_UW'!K16</f>
        <v>65</v>
      </c>
      <c r="L9" s="47">
        <f>'Pg 9 P&amp;C_SC_UW'!L16</f>
        <v>68</v>
      </c>
      <c r="N9" s="47">
        <f>'Pg 9 P&amp;C_SC_UW'!N16</f>
        <v>96</v>
      </c>
      <c r="O9" s="47">
        <f>'Pg 9 P&amp;C_SC_UW'!O16</f>
        <v>100</v>
      </c>
      <c r="Q9" s="47">
        <f>'Pg 9 P&amp;C_SC_UW'!Q16</f>
        <v>0</v>
      </c>
      <c r="R9" s="47">
        <f>'Pg 9 P&amp;C_SC_UW'!R16</f>
        <v>136</v>
      </c>
      <c r="S9" s="47">
        <f>'Pg 9 P&amp;C_SC_UW'!S16</f>
        <v>102</v>
      </c>
      <c r="T9" s="142"/>
      <c r="U9" s="142"/>
    </row>
    <row r="10" spans="1:22" ht="15.75" x14ac:dyDescent="0.25">
      <c r="A10" s="47" t="s">
        <v>277</v>
      </c>
      <c r="B10" s="47">
        <f>'Pg 10 P&amp;C_SF_UW'!B16</f>
        <v>-72</v>
      </c>
      <c r="C10" s="47">
        <f>'Pg 10 P&amp;C_SF_UW'!C16</f>
        <v>26</v>
      </c>
      <c r="D10" s="47">
        <f>'Pg 10 P&amp;C_SF_UW'!D16</f>
        <v>24</v>
      </c>
      <c r="E10" s="47">
        <f>'Pg 10 P&amp;C_SF_UW'!E16</f>
        <v>22</v>
      </c>
      <c r="F10" s="47">
        <f>'Pg 10 P&amp;C_SF_UW'!F16</f>
        <v>18</v>
      </c>
      <c r="G10" s="47">
        <f>'Pg 10 P&amp;C_SF_UW'!G16</f>
        <v>21</v>
      </c>
      <c r="H10" s="47">
        <f>'Pg 10 P&amp;C_SF_UW'!H16</f>
        <v>15</v>
      </c>
      <c r="I10" s="47">
        <f>'Pg 10 P&amp;C_SF_UW'!I16</f>
        <v>10</v>
      </c>
      <c r="K10" s="47">
        <f>'Pg 10 P&amp;C_SF_UW'!K16</f>
        <v>46</v>
      </c>
      <c r="L10" s="47">
        <f>'Pg 10 P&amp;C_SF_UW'!L16</f>
        <v>25</v>
      </c>
      <c r="N10" s="47">
        <f>'Pg 10 P&amp;C_SF_UW'!N16</f>
        <v>72</v>
      </c>
      <c r="O10" s="47">
        <f>'Pg 10 P&amp;C_SF_UW'!O16</f>
        <v>46</v>
      </c>
      <c r="Q10" s="47">
        <f>'Pg 10 P&amp;C_SF_UW'!Q16</f>
        <v>0</v>
      </c>
      <c r="R10" s="47">
        <f>'Pg 10 P&amp;C_SF_UW'!R16</f>
        <v>64</v>
      </c>
      <c r="S10" s="47">
        <f>'Pg 10 P&amp;C_SF_UW'!S16</f>
        <v>67</v>
      </c>
      <c r="T10" s="142"/>
      <c r="U10" s="142"/>
    </row>
    <row r="11" spans="1:22" ht="17.25" x14ac:dyDescent="0.35">
      <c r="A11" s="47" t="s">
        <v>278</v>
      </c>
      <c r="B11" s="48">
        <f>'Pg 11 P&amp;C_Spec_Other_UW'!B16</f>
        <v>-13</v>
      </c>
      <c r="C11" s="48">
        <f>'Pg 11 P&amp;C_Spec_Other_UW'!C16</f>
        <v>7</v>
      </c>
      <c r="D11" s="48">
        <f>'Pg 11 P&amp;C_Spec_Other_UW'!D16</f>
        <v>3</v>
      </c>
      <c r="E11" s="48">
        <f>'Pg 11 P&amp;C_Spec_Other_UW'!E16</f>
        <v>3</v>
      </c>
      <c r="F11" s="48">
        <f>'Pg 11 P&amp;C_Spec_Other_UW'!F16</f>
        <v>3</v>
      </c>
      <c r="G11" s="48">
        <f>'Pg 11 P&amp;C_Spec_Other_UW'!G16</f>
        <v>6</v>
      </c>
      <c r="H11" s="48">
        <f>'Pg 11 P&amp;C_Spec_Other_UW'!H16</f>
        <v>2</v>
      </c>
      <c r="I11" s="48">
        <f>'Pg 11 P&amp;C_Spec_Other_UW'!I16</f>
        <v>5</v>
      </c>
      <c r="K11" s="48">
        <f>'Pg 11 P&amp;C_Spec_Other_UW'!K16</f>
        <v>6</v>
      </c>
      <c r="L11" s="48">
        <f>'Pg 11 P&amp;C_Spec_Other_UW'!L16</f>
        <v>7</v>
      </c>
      <c r="N11" s="48">
        <f>'Pg 11 P&amp;C_Spec_Other_UW'!N16</f>
        <v>13</v>
      </c>
      <c r="O11" s="48">
        <f>'Pg 11 P&amp;C_Spec_Other_UW'!O16</f>
        <v>13</v>
      </c>
      <c r="Q11" s="48">
        <f>'Pg 11 P&amp;C_Spec_Other_UW'!Q16</f>
        <v>0</v>
      </c>
      <c r="R11" s="48">
        <f>'Pg 11 P&amp;C_Spec_Other_UW'!R16</f>
        <v>16</v>
      </c>
      <c r="S11" s="48">
        <f>'Pg 11 P&amp;C_Spec_Other_UW'!S16</f>
        <v>25</v>
      </c>
      <c r="T11" s="142"/>
      <c r="U11" s="142"/>
    </row>
    <row r="12" spans="1:22" s="156" customFormat="1" ht="15.75" x14ac:dyDescent="0.25">
      <c r="A12" s="154" t="s">
        <v>279</v>
      </c>
      <c r="B12" s="151">
        <f>SUM(B8:B11)</f>
        <v>-195</v>
      </c>
      <c r="C12" s="151">
        <f t="shared" ref="C12:I12" si="0">SUM(C8:C11)</f>
        <v>84</v>
      </c>
      <c r="D12" s="151">
        <f t="shared" si="0"/>
        <v>51</v>
      </c>
      <c r="E12" s="151">
        <f t="shared" si="0"/>
        <v>60</v>
      </c>
      <c r="F12" s="151">
        <f t="shared" si="0"/>
        <v>79</v>
      </c>
      <c r="G12" s="151">
        <f t="shared" si="0"/>
        <v>70</v>
      </c>
      <c r="H12" s="151">
        <f t="shared" si="0"/>
        <v>29</v>
      </c>
      <c r="I12" s="151">
        <f t="shared" si="0"/>
        <v>59</v>
      </c>
      <c r="J12" s="151"/>
      <c r="K12" s="151">
        <f>SUM(K8:K11)</f>
        <v>111</v>
      </c>
      <c r="L12" s="151">
        <f>SUM(L8:L11)</f>
        <v>88</v>
      </c>
      <c r="M12" s="151"/>
      <c r="N12" s="151">
        <f>SUM(N8:N11)</f>
        <v>195</v>
      </c>
      <c r="O12" s="151">
        <f>SUM(O8:O11)</f>
        <v>158</v>
      </c>
      <c r="P12" s="151"/>
      <c r="Q12" s="151">
        <f>SUM(Q8:Q11)</f>
        <v>0</v>
      </c>
      <c r="R12" s="151">
        <f>SUM(R8:R11)</f>
        <v>237</v>
      </c>
      <c r="S12" s="151">
        <f>SUM(S8:S11)</f>
        <v>206</v>
      </c>
      <c r="T12" s="155"/>
      <c r="U12" s="155"/>
      <c r="V12" s="151"/>
    </row>
    <row r="13" spans="1:22" s="156" customFormat="1" ht="15.75" x14ac:dyDescent="0.25">
      <c r="A13" s="15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155"/>
      <c r="U13" s="155"/>
      <c r="V13" s="151"/>
    </row>
    <row r="14" spans="1:22" ht="17.25" x14ac:dyDescent="0.35">
      <c r="A14" s="144" t="s">
        <v>388</v>
      </c>
      <c r="B14" s="48">
        <f>Q14-N14</f>
        <v>-3</v>
      </c>
      <c r="C14" s="48">
        <f>N14-K14</f>
        <v>2</v>
      </c>
      <c r="D14" s="48">
        <f>K14-E14</f>
        <v>1</v>
      </c>
      <c r="E14" s="48">
        <v>0</v>
      </c>
      <c r="F14" s="48">
        <f>R14-O14</f>
        <v>0</v>
      </c>
      <c r="G14" s="48">
        <f>O14-L14</f>
        <v>0</v>
      </c>
      <c r="H14" s="48">
        <f>L14-I14</f>
        <v>0</v>
      </c>
      <c r="I14" s="48">
        <v>1</v>
      </c>
      <c r="K14" s="48">
        <v>1</v>
      </c>
      <c r="L14" s="48">
        <v>1</v>
      </c>
      <c r="N14" s="48">
        <v>3</v>
      </c>
      <c r="O14" s="48">
        <v>1</v>
      </c>
      <c r="Q14" s="48">
        <v>0</v>
      </c>
      <c r="R14" s="48">
        <v>1</v>
      </c>
      <c r="S14" s="48">
        <v>7</v>
      </c>
      <c r="T14" s="142"/>
      <c r="U14" s="142"/>
    </row>
    <row r="15" spans="1:22" ht="15.75" x14ac:dyDescent="0.25">
      <c r="A15" s="154" t="s">
        <v>280</v>
      </c>
      <c r="B15" s="151">
        <f t="shared" ref="B15:I15" si="1">B12-B14</f>
        <v>-192</v>
      </c>
      <c r="C15" s="151">
        <f t="shared" si="1"/>
        <v>82</v>
      </c>
      <c r="D15" s="151">
        <f t="shared" si="1"/>
        <v>50</v>
      </c>
      <c r="E15" s="151">
        <f t="shared" si="1"/>
        <v>60</v>
      </c>
      <c r="F15" s="151">
        <f t="shared" si="1"/>
        <v>79</v>
      </c>
      <c r="G15" s="151">
        <f t="shared" si="1"/>
        <v>70</v>
      </c>
      <c r="H15" s="151">
        <f t="shared" si="1"/>
        <v>29</v>
      </c>
      <c r="I15" s="151">
        <f t="shared" si="1"/>
        <v>58</v>
      </c>
      <c r="J15" s="151"/>
      <c r="K15" s="151">
        <f>K12-K14</f>
        <v>110</v>
      </c>
      <c r="L15" s="151">
        <f>L12-L14</f>
        <v>87</v>
      </c>
      <c r="M15" s="151"/>
      <c r="N15" s="151">
        <f>N12-N14</f>
        <v>192</v>
      </c>
      <c r="O15" s="151">
        <f>O12-O14</f>
        <v>157</v>
      </c>
      <c r="P15" s="151"/>
      <c r="Q15" s="151">
        <f>Q12-Q14</f>
        <v>0</v>
      </c>
      <c r="R15" s="151">
        <f>R12-R14</f>
        <v>236</v>
      </c>
      <c r="S15" s="151">
        <f>S12-S14</f>
        <v>199</v>
      </c>
      <c r="T15" s="142"/>
      <c r="U15" s="142"/>
    </row>
    <row r="16" spans="1:22" ht="18" x14ac:dyDescent="0.4">
      <c r="A16" s="154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42"/>
      <c r="U16" s="142"/>
    </row>
    <row r="17" spans="1:22" ht="17.25" x14ac:dyDescent="0.35">
      <c r="A17" s="144" t="s">
        <v>247</v>
      </c>
      <c r="B17" s="48">
        <f>Q17-N17</f>
        <v>67</v>
      </c>
      <c r="C17" s="48">
        <f>N17-K17</f>
        <v>-67</v>
      </c>
      <c r="D17" s="48">
        <f>K17-E17</f>
        <v>0</v>
      </c>
      <c r="E17" s="48">
        <v>0</v>
      </c>
      <c r="F17" s="48">
        <f>R17-O17</f>
        <v>0</v>
      </c>
      <c r="G17" s="48">
        <f>O17-L17</f>
        <v>-24</v>
      </c>
      <c r="H17" s="48">
        <f>L17-I17</f>
        <v>0</v>
      </c>
      <c r="I17" s="48">
        <v>0</v>
      </c>
      <c r="K17" s="48">
        <v>0</v>
      </c>
      <c r="L17" s="48">
        <v>0</v>
      </c>
      <c r="N17" s="48">
        <v>-67</v>
      </c>
      <c r="O17" s="48">
        <v>-24</v>
      </c>
      <c r="Q17" s="48">
        <v>0</v>
      </c>
      <c r="R17" s="48">
        <v>-24</v>
      </c>
      <c r="S17" s="48">
        <v>-54</v>
      </c>
      <c r="T17" s="142"/>
      <c r="U17" s="142"/>
    </row>
    <row r="18" spans="1:22" s="156" customFormat="1" ht="18" x14ac:dyDescent="0.4">
      <c r="A18" s="154" t="s">
        <v>342</v>
      </c>
      <c r="B18" s="170">
        <f>B15+B17</f>
        <v>-125</v>
      </c>
      <c r="C18" s="170">
        <f t="shared" ref="C18:S18" si="2">C15+C17</f>
        <v>15</v>
      </c>
      <c r="D18" s="170">
        <f t="shared" si="2"/>
        <v>50</v>
      </c>
      <c r="E18" s="170">
        <f t="shared" si="2"/>
        <v>60</v>
      </c>
      <c r="F18" s="170">
        <f t="shared" si="2"/>
        <v>79</v>
      </c>
      <c r="G18" s="170">
        <f t="shared" si="2"/>
        <v>46</v>
      </c>
      <c r="H18" s="170">
        <f t="shared" si="2"/>
        <v>29</v>
      </c>
      <c r="I18" s="170">
        <f t="shared" si="2"/>
        <v>58</v>
      </c>
      <c r="J18" s="170"/>
      <c r="K18" s="170">
        <f t="shared" si="2"/>
        <v>110</v>
      </c>
      <c r="L18" s="170">
        <f t="shared" si="2"/>
        <v>87</v>
      </c>
      <c r="M18" s="170"/>
      <c r="N18" s="170">
        <f t="shared" si="2"/>
        <v>125</v>
      </c>
      <c r="O18" s="170">
        <f t="shared" si="2"/>
        <v>133</v>
      </c>
      <c r="P18" s="170"/>
      <c r="Q18" s="170">
        <f t="shared" si="2"/>
        <v>0</v>
      </c>
      <c r="R18" s="170">
        <f t="shared" si="2"/>
        <v>212</v>
      </c>
      <c r="S18" s="170">
        <f t="shared" si="2"/>
        <v>145</v>
      </c>
      <c r="T18" s="155"/>
      <c r="U18" s="155"/>
      <c r="V18" s="151"/>
    </row>
    <row r="19" spans="1:22" ht="17.25" x14ac:dyDescent="0.35">
      <c r="A19" s="152"/>
      <c r="B19" s="157"/>
      <c r="C19" s="157"/>
      <c r="D19" s="157"/>
      <c r="E19" s="157"/>
      <c r="F19" s="157"/>
      <c r="G19" s="157"/>
      <c r="H19" s="157"/>
      <c r="I19" s="157"/>
      <c r="J19" s="151"/>
      <c r="K19" s="157"/>
      <c r="L19" s="157"/>
      <c r="M19" s="151"/>
      <c r="N19" s="157"/>
      <c r="O19" s="157"/>
      <c r="P19" s="151"/>
      <c r="Q19" s="157"/>
      <c r="R19" s="157"/>
      <c r="S19" s="157"/>
      <c r="T19" s="142"/>
      <c r="U19" s="142"/>
    </row>
    <row r="20" spans="1:22" ht="17.25" x14ac:dyDescent="0.35">
      <c r="A20" s="152" t="s">
        <v>219</v>
      </c>
      <c r="B20" s="157"/>
      <c r="C20" s="157"/>
      <c r="D20" s="157"/>
      <c r="E20" s="157"/>
      <c r="F20" s="157"/>
      <c r="G20" s="157"/>
      <c r="H20" s="157"/>
      <c r="I20" s="157"/>
      <c r="J20" s="151"/>
      <c r="K20" s="157"/>
      <c r="L20" s="157"/>
      <c r="M20" s="151"/>
      <c r="N20" s="157"/>
      <c r="O20" s="157"/>
      <c r="P20" s="151"/>
      <c r="Q20" s="157"/>
      <c r="R20" s="157"/>
      <c r="S20" s="157"/>
      <c r="T20" s="142"/>
      <c r="U20" s="142"/>
    </row>
    <row r="21" spans="1:22" ht="17.25" x14ac:dyDescent="0.35">
      <c r="A21" s="415" t="s">
        <v>210</v>
      </c>
      <c r="B21" s="157"/>
      <c r="C21" s="157"/>
      <c r="D21" s="157"/>
      <c r="E21" s="157"/>
      <c r="F21" s="157"/>
      <c r="G21" s="157"/>
      <c r="H21" s="157"/>
      <c r="I21" s="157"/>
      <c r="J21" s="151"/>
      <c r="K21" s="157"/>
      <c r="L21" s="157"/>
      <c r="M21" s="151"/>
      <c r="N21" s="157"/>
      <c r="O21" s="157"/>
      <c r="P21" s="151"/>
      <c r="Q21" s="157"/>
      <c r="R21" s="157"/>
      <c r="S21" s="157"/>
      <c r="T21" s="142"/>
      <c r="U21" s="142"/>
    </row>
    <row r="22" spans="1:22" ht="15.75" x14ac:dyDescent="0.25">
      <c r="A22" s="457" t="s">
        <v>211</v>
      </c>
      <c r="B22" s="44">
        <f>Q22-N22</f>
        <v>0</v>
      </c>
      <c r="C22" s="44">
        <f>N22-K22</f>
        <v>0</v>
      </c>
      <c r="D22" s="44">
        <f>K22-E22</f>
        <v>0</v>
      </c>
      <c r="E22" s="44">
        <v>0</v>
      </c>
      <c r="F22" s="44">
        <f>R22-O22</f>
        <v>0</v>
      </c>
      <c r="G22" s="44">
        <f>O22-L22</f>
        <v>0</v>
      </c>
      <c r="H22" s="44">
        <f>L22-I22</f>
        <v>0</v>
      </c>
      <c r="I22" s="44">
        <v>0</v>
      </c>
      <c r="J22" s="45"/>
      <c r="K22" s="44">
        <v>0</v>
      </c>
      <c r="L22" s="44">
        <v>0</v>
      </c>
      <c r="M22" s="45"/>
      <c r="N22" s="44">
        <v>0</v>
      </c>
      <c r="O22" s="44">
        <v>0</v>
      </c>
      <c r="P22" s="45"/>
      <c r="Q22" s="44">
        <v>0</v>
      </c>
      <c r="R22" s="44">
        <v>0</v>
      </c>
      <c r="S22" s="44">
        <v>0</v>
      </c>
      <c r="T22" s="142"/>
      <c r="U22" s="142"/>
    </row>
    <row r="23" spans="1:22" ht="17.25" x14ac:dyDescent="0.35">
      <c r="A23" s="457" t="s">
        <v>212</v>
      </c>
      <c r="B23" s="48">
        <f>B24-B22</f>
        <v>-26</v>
      </c>
      <c r="C23" s="48">
        <f t="shared" ref="C23:I23" si="3">C24-C22</f>
        <v>10</v>
      </c>
      <c r="D23" s="48">
        <f t="shared" si="3"/>
        <v>10</v>
      </c>
      <c r="E23" s="48">
        <f>E24-E22</f>
        <v>6</v>
      </c>
      <c r="F23" s="48">
        <f t="shared" si="3"/>
        <v>3</v>
      </c>
      <c r="G23" s="48">
        <f t="shared" si="3"/>
        <v>3</v>
      </c>
      <c r="H23" s="48">
        <f t="shared" si="3"/>
        <v>10</v>
      </c>
      <c r="I23" s="48">
        <f t="shared" si="3"/>
        <v>12</v>
      </c>
      <c r="J23" s="99"/>
      <c r="K23" s="48">
        <f>K24-K22</f>
        <v>16</v>
      </c>
      <c r="L23" s="48">
        <f>L24-L22</f>
        <v>22</v>
      </c>
      <c r="M23" s="99"/>
      <c r="N23" s="48">
        <f>N24-N22</f>
        <v>26</v>
      </c>
      <c r="O23" s="48">
        <f>O24-O22</f>
        <v>25</v>
      </c>
      <c r="P23" s="99"/>
      <c r="Q23" s="48">
        <f>Q24-Q22</f>
        <v>0</v>
      </c>
      <c r="R23" s="48">
        <f>R24-R22</f>
        <v>28</v>
      </c>
      <c r="S23" s="48">
        <f>S24-S22</f>
        <v>31</v>
      </c>
      <c r="T23" s="142"/>
      <c r="U23" s="142"/>
    </row>
    <row r="24" spans="1:22" ht="17.25" x14ac:dyDescent="0.35">
      <c r="A24" s="457" t="s">
        <v>139</v>
      </c>
      <c r="B24" s="379">
        <f>Q24-N24</f>
        <v>-26</v>
      </c>
      <c r="C24" s="379">
        <f>N24-K24</f>
        <v>10</v>
      </c>
      <c r="D24" s="379">
        <f>K24-E24</f>
        <v>10</v>
      </c>
      <c r="E24" s="379">
        <v>6</v>
      </c>
      <c r="F24" s="379">
        <f>R24-O24</f>
        <v>3</v>
      </c>
      <c r="G24" s="379">
        <f>O24-L24</f>
        <v>3</v>
      </c>
      <c r="H24" s="379">
        <f>L24-I24</f>
        <v>10</v>
      </c>
      <c r="I24" s="379">
        <v>12</v>
      </c>
      <c r="J24" s="380"/>
      <c r="K24" s="379">
        <v>16</v>
      </c>
      <c r="L24" s="379">
        <v>22</v>
      </c>
      <c r="M24" s="380"/>
      <c r="N24" s="379">
        <v>26</v>
      </c>
      <c r="O24" s="379">
        <v>25</v>
      </c>
      <c r="P24" s="380"/>
      <c r="Q24" s="379">
        <v>0</v>
      </c>
      <c r="R24" s="379">
        <v>28</v>
      </c>
      <c r="S24" s="379">
        <v>31</v>
      </c>
    </row>
    <row r="25" spans="1:22" ht="15.75" x14ac:dyDescent="0.25">
      <c r="A25" s="238"/>
      <c r="B25" s="44"/>
      <c r="C25" s="44"/>
      <c r="D25" s="44"/>
      <c r="E25" s="44"/>
      <c r="F25" s="44"/>
      <c r="G25" s="44"/>
      <c r="H25" s="44"/>
      <c r="I25" s="44"/>
      <c r="J25" s="45"/>
      <c r="K25" s="44"/>
      <c r="L25" s="44"/>
      <c r="M25" s="45"/>
      <c r="N25" s="44"/>
      <c r="O25" s="44"/>
      <c r="P25" s="45"/>
      <c r="Q25" s="44"/>
      <c r="R25" s="44"/>
      <c r="S25" s="44"/>
      <c r="T25" s="142"/>
      <c r="U25" s="142"/>
    </row>
    <row r="26" spans="1:22" ht="17.25" x14ac:dyDescent="0.35">
      <c r="A26" s="415" t="s">
        <v>376</v>
      </c>
      <c r="B26" s="379">
        <f>Q26-N26</f>
        <v>-38</v>
      </c>
      <c r="C26" s="379">
        <f>N26-K26</f>
        <v>55</v>
      </c>
      <c r="D26" s="379">
        <f>K26-E26</f>
        <v>-10</v>
      </c>
      <c r="E26" s="379">
        <v>-7</v>
      </c>
      <c r="F26" s="379">
        <f>R26-O26</f>
        <v>10</v>
      </c>
      <c r="G26" s="379">
        <f>O26-L26</f>
        <v>13</v>
      </c>
      <c r="H26" s="379">
        <f>L26-I26</f>
        <v>14</v>
      </c>
      <c r="I26" s="379">
        <v>-31</v>
      </c>
      <c r="J26" s="380"/>
      <c r="K26" s="379">
        <v>-17</v>
      </c>
      <c r="L26" s="379">
        <v>-17</v>
      </c>
      <c r="M26" s="380"/>
      <c r="N26" s="379">
        <v>38</v>
      </c>
      <c r="O26" s="379">
        <v>-4</v>
      </c>
      <c r="P26" s="380"/>
      <c r="Q26" s="379">
        <v>0</v>
      </c>
      <c r="R26" s="379">
        <v>6</v>
      </c>
      <c r="S26" s="379">
        <v>-15</v>
      </c>
      <c r="T26" s="381"/>
      <c r="U26" s="381"/>
    </row>
    <row r="27" spans="1:22" ht="15.75" x14ac:dyDescent="0.25">
      <c r="A27" s="144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42"/>
      <c r="U27" s="142"/>
    </row>
    <row r="28" spans="1:22" ht="15.75" x14ac:dyDescent="0.25">
      <c r="A28" s="144" t="s">
        <v>213</v>
      </c>
      <c r="B28" s="93"/>
      <c r="C28" s="93"/>
      <c r="D28" s="93"/>
      <c r="E28" s="93"/>
      <c r="F28" s="93"/>
      <c r="G28" s="93"/>
      <c r="H28" s="93"/>
      <c r="I28" s="93"/>
      <c r="K28" s="93"/>
      <c r="L28" s="93"/>
      <c r="N28" s="93"/>
      <c r="O28" s="93"/>
      <c r="Q28" s="93"/>
      <c r="R28" s="93"/>
      <c r="S28" s="93"/>
      <c r="T28" s="142"/>
      <c r="U28" s="142"/>
    </row>
    <row r="29" spans="1:22" ht="15.75" x14ac:dyDescent="0.25">
      <c r="A29" s="238" t="s">
        <v>275</v>
      </c>
      <c r="B29" s="122">
        <f>'Pg 8 P&amp;C_P&amp;T_UW'!B29</f>
        <v>0</v>
      </c>
      <c r="C29" s="122">
        <f>'Pg 8 P&amp;C_P&amp;T_UW'!C29</f>
        <v>0.96199999999999997</v>
      </c>
      <c r="D29" s="122">
        <f>'Pg 8 P&amp;C_P&amp;T_UW'!D29</f>
        <v>1.04</v>
      </c>
      <c r="E29" s="122">
        <f>'Pg 8 P&amp;C_P&amp;T_UW'!E29</f>
        <v>0.97700000000000009</v>
      </c>
      <c r="F29" s="122">
        <f>'Pg 8 P&amp;C_P&amp;T_UW'!F29</f>
        <v>0.94599999999999995</v>
      </c>
      <c r="G29" s="122">
        <f>'Pg 8 P&amp;C_P&amp;T_UW'!G29</f>
        <v>0.97800000000000009</v>
      </c>
      <c r="H29" s="122">
        <f>'Pg 8 P&amp;C_P&amp;T_UW'!H29</f>
        <v>1.0549999999999999</v>
      </c>
      <c r="I29" s="122">
        <f>'Pg 8 P&amp;C_P&amp;T_UW'!I29</f>
        <v>0.98100000000000009</v>
      </c>
      <c r="J29" s="123"/>
      <c r="K29" s="122">
        <f>'Pg 8 P&amp;C_P&amp;T_UW'!K29</f>
        <v>1.01</v>
      </c>
      <c r="L29" s="122">
        <f>'Pg 8 P&amp;C_P&amp;T_UW'!L29</f>
        <v>1.02</v>
      </c>
      <c r="M29" s="123"/>
      <c r="N29" s="122">
        <f>'Pg 8 P&amp;C_P&amp;T_UW'!N29</f>
        <v>0.98699999999999999</v>
      </c>
      <c r="O29" s="122">
        <f>'Pg 8 P&amp;C_P&amp;T_UW'!O29</f>
        <v>1.0009999999999999</v>
      </c>
      <c r="P29" s="123"/>
      <c r="Q29" s="122">
        <f>'Pg 8 P&amp;C_P&amp;T_UW'!Q29</f>
        <v>0</v>
      </c>
      <c r="R29" s="122">
        <f>'Pg 8 P&amp;C_P&amp;T_UW'!R29</f>
        <v>0.98699999999999999</v>
      </c>
      <c r="S29" s="122">
        <f>'Pg 8 P&amp;C_P&amp;T_UW'!S29</f>
        <v>0.99199999999999999</v>
      </c>
      <c r="T29" s="142"/>
      <c r="U29" s="142"/>
    </row>
    <row r="30" spans="1:22" ht="15.75" x14ac:dyDescent="0.25">
      <c r="A30" s="238" t="s">
        <v>276</v>
      </c>
      <c r="B30" s="122">
        <f>'Pg 9 P&amp;C_SC_UW'!B29</f>
        <v>0</v>
      </c>
      <c r="C30" s="122">
        <f>'Pg 9 P&amp;C_SC_UW'!C29</f>
        <v>0.93799999999999994</v>
      </c>
      <c r="D30" s="122">
        <f>'Pg 9 P&amp;C_SC_UW'!D29</f>
        <v>0.92700000000000005</v>
      </c>
      <c r="E30" s="122">
        <f>'Pg 9 P&amp;C_SC_UW'!E29</f>
        <v>0.94199999999999995</v>
      </c>
      <c r="F30" s="122">
        <f>'Pg 9 P&amp;C_SC_UW'!F29</f>
        <v>0.92900000000000005</v>
      </c>
      <c r="G30" s="122">
        <f>'Pg 9 P&amp;C_SC_UW'!G29</f>
        <v>0.93300000000000005</v>
      </c>
      <c r="H30" s="122">
        <f>'Pg 9 P&amp;C_SC_UW'!H29</f>
        <v>0.93599999999999994</v>
      </c>
      <c r="I30" s="122">
        <f>'Pg 9 P&amp;C_SC_UW'!I29</f>
        <v>0.87800000000000011</v>
      </c>
      <c r="J30" s="123"/>
      <c r="K30" s="122">
        <f>'Pg 9 P&amp;C_SC_UW'!K29</f>
        <v>0.93399999999999994</v>
      </c>
      <c r="L30" s="122">
        <f>'Pg 9 P&amp;C_SC_UW'!L29</f>
        <v>0.91199999999999992</v>
      </c>
      <c r="M30" s="123"/>
      <c r="N30" s="122">
        <f>'Pg 9 P&amp;C_SC_UW'!N29</f>
        <v>0.93599999999999994</v>
      </c>
      <c r="O30" s="122">
        <f>'Pg 9 P&amp;C_SC_UW'!O29</f>
        <v>0.92100000000000004</v>
      </c>
      <c r="P30" s="123"/>
      <c r="Q30" s="122">
        <f>'Pg 9 P&amp;C_SC_UW'!Q29</f>
        <v>0</v>
      </c>
      <c r="R30" s="122">
        <f>'Pg 9 P&amp;C_SC_UW'!R29</f>
        <v>0.92300000000000004</v>
      </c>
      <c r="S30" s="122">
        <f>'Pg 9 P&amp;C_SC_UW'!S29</f>
        <v>0.90900000000000003</v>
      </c>
      <c r="T30" s="142"/>
      <c r="U30" s="142"/>
    </row>
    <row r="31" spans="1:22" ht="15.75" x14ac:dyDescent="0.25">
      <c r="A31" s="238" t="s">
        <v>277</v>
      </c>
      <c r="B31" s="122">
        <f>'Pg 10 P&amp;C_SF_UW'!B29</f>
        <v>0</v>
      </c>
      <c r="C31" s="122">
        <f>'Pg 10 P&amp;C_SF_UW'!C29</f>
        <v>0.80600000000000005</v>
      </c>
      <c r="D31" s="122">
        <f>'Pg 10 P&amp;C_SF_UW'!D29</f>
        <v>0.81</v>
      </c>
      <c r="E31" s="122">
        <f>'Pg 10 P&amp;C_SF_UW'!E29</f>
        <v>0.81699999999999995</v>
      </c>
      <c r="F31" s="122">
        <f>'Pg 10 P&amp;C_SF_UW'!F29</f>
        <v>0.85599999999999998</v>
      </c>
      <c r="G31" s="122">
        <f>'Pg 10 P&amp;C_SF_UW'!G29</f>
        <v>0.81600000000000006</v>
      </c>
      <c r="H31" s="122">
        <f>'Pg 10 P&amp;C_SF_UW'!H29</f>
        <v>0.876</v>
      </c>
      <c r="I31" s="122">
        <f>'Pg 10 P&amp;C_SF_UW'!I29</f>
        <v>0.91</v>
      </c>
      <c r="J31" s="123"/>
      <c r="K31" s="122">
        <f>'Pg 10 P&amp;C_SF_UW'!K29</f>
        <v>0.81400000000000006</v>
      </c>
      <c r="L31" s="122">
        <f>'Pg 10 P&amp;C_SF_UW'!L29</f>
        <v>0.89300000000000002</v>
      </c>
      <c r="M31" s="123"/>
      <c r="N31" s="122">
        <f>'Pg 10 P&amp;C_SF_UW'!N29</f>
        <v>0.81</v>
      </c>
      <c r="O31" s="122">
        <f>'Pg 10 P&amp;C_SF_UW'!O29</f>
        <v>0.86699999999999999</v>
      </c>
      <c r="P31" s="123"/>
      <c r="Q31" s="122">
        <f>'Pg 10 P&amp;C_SF_UW'!Q29</f>
        <v>0</v>
      </c>
      <c r="R31" s="122">
        <f>'Pg 10 P&amp;C_SF_UW'!R29</f>
        <v>0.86499999999999999</v>
      </c>
      <c r="S31" s="122">
        <f>'Pg 10 P&amp;C_SF_UW'!S29</f>
        <v>0.85600000000000009</v>
      </c>
      <c r="T31" s="142"/>
      <c r="U31" s="142"/>
    </row>
    <row r="32" spans="1:22" ht="15.75" x14ac:dyDescent="0.25">
      <c r="A32" s="392" t="s">
        <v>278</v>
      </c>
      <c r="B32" s="122">
        <f>'Pg 11 P&amp;C_Spec_Other_UW'!B29</f>
        <v>0</v>
      </c>
      <c r="C32" s="122">
        <f>'Pg 11 P&amp;C_Spec_Other_UW'!C29</f>
        <v>0.67300000000000004</v>
      </c>
      <c r="D32" s="122">
        <f>'Pg 11 P&amp;C_Spec_Other_UW'!D29</f>
        <v>0.88</v>
      </c>
      <c r="E32" s="122">
        <f>'Pg 11 P&amp;C_Spec_Other_UW'!E29</f>
        <v>0.89300000000000002</v>
      </c>
      <c r="F32" s="122">
        <f>'Pg 11 P&amp;C_Spec_Other_UW'!F29</f>
        <v>0.86899999999999999</v>
      </c>
      <c r="G32" s="122">
        <f>'Pg 11 P&amp;C_Spec_Other_UW'!G29</f>
        <v>0.78</v>
      </c>
      <c r="H32" s="122">
        <f>'Pg 11 P&amp;C_Spec_Other_UW'!H29</f>
        <v>0.89</v>
      </c>
      <c r="I32" s="122">
        <f>'Pg 11 P&amp;C_Spec_Other_UW'!I29</f>
        <v>0.79900000000000004</v>
      </c>
      <c r="J32" s="123"/>
      <c r="K32" s="122">
        <f>'Pg 11 P&amp;C_Spec_Other_UW'!K29</f>
        <v>0.88600000000000001</v>
      </c>
      <c r="L32" s="122">
        <f>'Pg 11 P&amp;C_Spec_Other_UW'!L29</f>
        <v>0.84599999999999997</v>
      </c>
      <c r="M32" s="123"/>
      <c r="N32" s="122">
        <f>'Pg 11 P&amp;C_Spec_Other_UW'!N29</f>
        <v>0.81400000000000006</v>
      </c>
      <c r="O32" s="122">
        <f>'Pg 11 P&amp;C_Spec_Other_UW'!O29</f>
        <v>0.82099999999999995</v>
      </c>
      <c r="P32" s="123"/>
      <c r="Q32" s="122">
        <f>'Pg 11 P&amp;C_Spec_Other_UW'!Q29</f>
        <v>0</v>
      </c>
      <c r="R32" s="122">
        <f>'Pg 11 P&amp;C_Spec_Other_UW'!R29</f>
        <v>0.83399999999999996</v>
      </c>
      <c r="S32" s="122">
        <f>'Pg 11 P&amp;C_Spec_Other_UW'!S29</f>
        <v>0.68799999999999994</v>
      </c>
      <c r="T32" s="142"/>
      <c r="U32" s="142"/>
    </row>
    <row r="33" spans="1:22" s="156" customFormat="1" ht="15.75" x14ac:dyDescent="0.25">
      <c r="A33" s="447" t="s">
        <v>281</v>
      </c>
      <c r="B33" s="127">
        <f>'Pg 7 P&amp;C_Specialty_UW'!B29</f>
        <v>0</v>
      </c>
      <c r="C33" s="127">
        <f>'Pg 7 P&amp;C_Specialty_UW'!C29</f>
        <v>0.92900000000000005</v>
      </c>
      <c r="D33" s="127">
        <f>'Pg 7 P&amp;C_Specialty_UW'!D29</f>
        <v>0.94900000000000007</v>
      </c>
      <c r="E33" s="127">
        <f>'Pg 7 P&amp;C_Specialty_UW'!E29</f>
        <v>0.93599999999999994</v>
      </c>
      <c r="F33" s="127">
        <f>'Pg 7 P&amp;C_Specialty_UW'!F29</f>
        <v>0.92599999999999993</v>
      </c>
      <c r="G33" s="127">
        <f>'Pg 7 P&amp;C_Specialty_UW'!G29</f>
        <v>0.93800000000000006</v>
      </c>
      <c r="H33" s="127">
        <f>'Pg 7 P&amp;C_Specialty_UW'!H29</f>
        <v>0.96900000000000008</v>
      </c>
      <c r="I33" s="127">
        <f>'Pg 7 P&amp;C_Specialty_UW'!I29</f>
        <v>0.92199999999999993</v>
      </c>
      <c r="J33" s="127"/>
      <c r="K33" s="127">
        <f>'Pg 7 P&amp;C_Specialty_UW'!K29</f>
        <v>0.94199999999999995</v>
      </c>
      <c r="L33" s="127">
        <f>'Pg 7 P&amp;C_Specialty_UW'!L29</f>
        <v>0.94700000000000006</v>
      </c>
      <c r="M33" s="127"/>
      <c r="N33" s="127">
        <f>'Pg 7 P&amp;C_Specialty_UW'!N29</f>
        <v>0.93700000000000006</v>
      </c>
      <c r="O33" s="127">
        <f>'Pg 7 P&amp;C_Specialty_UW'!O29</f>
        <v>0.94399999999999995</v>
      </c>
      <c r="P33" s="127"/>
      <c r="Q33" s="127">
        <f>'Pg 7 P&amp;C_Specialty_UW'!Q29</f>
        <v>0</v>
      </c>
      <c r="R33" s="127">
        <f>'Pg 7 P&amp;C_Specialty_UW'!R29</f>
        <v>0.93900000000000006</v>
      </c>
      <c r="S33" s="127">
        <f>'Pg 7 P&amp;C_Specialty_UW'!S29</f>
        <v>0.93500000000000005</v>
      </c>
      <c r="T33" s="155"/>
      <c r="U33" s="155"/>
      <c r="V33" s="151"/>
    </row>
    <row r="34" spans="1:22" s="156" customFormat="1" ht="9.9499999999999993" customHeight="1" x14ac:dyDescent="0.25">
      <c r="A34" s="41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55"/>
      <c r="U34" s="155"/>
      <c r="V34" s="151"/>
    </row>
    <row r="35" spans="1:22" ht="15.75" x14ac:dyDescent="0.25">
      <c r="A35" s="417" t="s">
        <v>74</v>
      </c>
      <c r="B35" s="123">
        <v>0</v>
      </c>
      <c r="C35" s="123">
        <v>1E-3</v>
      </c>
      <c r="D35" s="123">
        <v>0</v>
      </c>
      <c r="E35" s="123">
        <v>1E-3</v>
      </c>
      <c r="F35" s="123">
        <v>0</v>
      </c>
      <c r="G35" s="123">
        <v>1E-3</v>
      </c>
      <c r="H35" s="123">
        <v>0</v>
      </c>
      <c r="I35" s="123">
        <v>0</v>
      </c>
      <c r="J35" s="123"/>
      <c r="K35" s="123">
        <v>0</v>
      </c>
      <c r="L35" s="123">
        <v>0</v>
      </c>
      <c r="M35" s="123"/>
      <c r="N35" s="123">
        <v>1E-3</v>
      </c>
      <c r="O35" s="123">
        <v>0</v>
      </c>
      <c r="P35" s="123"/>
      <c r="Q35" s="123">
        <v>0</v>
      </c>
      <c r="R35" s="123">
        <v>0</v>
      </c>
      <c r="S35" s="123">
        <v>3.0000000000000001E-3</v>
      </c>
      <c r="T35" s="142"/>
      <c r="U35" s="142"/>
    </row>
    <row r="36" spans="1:22" ht="15.75" x14ac:dyDescent="0.25">
      <c r="A36" s="417" t="s">
        <v>55</v>
      </c>
      <c r="B36" s="125">
        <v>0</v>
      </c>
      <c r="C36" s="125">
        <v>5.7000000000000002E-2</v>
      </c>
      <c r="D36" s="125">
        <v>0</v>
      </c>
      <c r="E36" s="125">
        <v>0</v>
      </c>
      <c r="F36" s="125">
        <v>0</v>
      </c>
      <c r="G36" s="125">
        <v>2.1000000000000001E-2</v>
      </c>
      <c r="H36" s="125">
        <v>0</v>
      </c>
      <c r="I36" s="125">
        <v>0</v>
      </c>
      <c r="J36" s="125"/>
      <c r="K36" s="125">
        <v>0</v>
      </c>
      <c r="L36" s="125">
        <v>1E-3</v>
      </c>
      <c r="M36" s="125"/>
      <c r="N36" s="125">
        <v>2.1999999999999999E-2</v>
      </c>
      <c r="O36" s="125">
        <v>8.0000000000000002E-3</v>
      </c>
      <c r="P36" s="125"/>
      <c r="Q36" s="125">
        <v>0</v>
      </c>
      <c r="R36" s="125">
        <v>6.0000000000000001E-3</v>
      </c>
      <c r="S36" s="125">
        <v>1.7000000000000001E-2</v>
      </c>
      <c r="T36" s="142"/>
      <c r="U36" s="142"/>
    </row>
    <row r="37" spans="1:22" s="156" customFormat="1" ht="15.75" x14ac:dyDescent="0.25">
      <c r="A37" s="447" t="s">
        <v>76</v>
      </c>
      <c r="B37" s="126">
        <f t="shared" ref="B37:I37" si="4">SUM(B33:B36)</f>
        <v>0</v>
      </c>
      <c r="C37" s="126">
        <f t="shared" si="4"/>
        <v>0.9870000000000001</v>
      </c>
      <c r="D37" s="126">
        <f t="shared" si="4"/>
        <v>0.94900000000000007</v>
      </c>
      <c r="E37" s="126">
        <f t="shared" si="4"/>
        <v>0.93699999999999994</v>
      </c>
      <c r="F37" s="126">
        <f t="shared" si="4"/>
        <v>0.92599999999999993</v>
      </c>
      <c r="G37" s="126">
        <f t="shared" si="4"/>
        <v>0.96000000000000008</v>
      </c>
      <c r="H37" s="126">
        <f t="shared" si="4"/>
        <v>0.96900000000000008</v>
      </c>
      <c r="I37" s="126">
        <f t="shared" si="4"/>
        <v>0.92199999999999993</v>
      </c>
      <c r="J37" s="126"/>
      <c r="K37" s="126">
        <f>SUM(K33:K36)</f>
        <v>0.94199999999999995</v>
      </c>
      <c r="L37" s="126">
        <f>SUM(L33:L36)</f>
        <v>0.94800000000000006</v>
      </c>
      <c r="M37" s="126"/>
      <c r="N37" s="126">
        <f>SUM(N33:N36)</f>
        <v>0.96000000000000008</v>
      </c>
      <c r="O37" s="126">
        <f>SUM(O33:O36)</f>
        <v>0.95199999999999996</v>
      </c>
      <c r="P37" s="126"/>
      <c r="Q37" s="126">
        <f>SUM(Q33:Q36)</f>
        <v>0</v>
      </c>
      <c r="R37" s="126">
        <f>SUM(R33:R36)</f>
        <v>0.94500000000000006</v>
      </c>
      <c r="S37" s="126">
        <f>SUM(S33:S36)</f>
        <v>0.95500000000000007</v>
      </c>
      <c r="T37" s="155"/>
      <c r="U37" s="155"/>
      <c r="V37" s="151"/>
    </row>
    <row r="38" spans="1:22" ht="15.75" x14ac:dyDescent="0.25">
      <c r="A38" s="144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42"/>
      <c r="U38" s="142"/>
    </row>
    <row r="39" spans="1:22" s="163" customFormat="1" ht="15.75" customHeight="1" x14ac:dyDescent="0.25">
      <c r="A39" s="153" t="s">
        <v>377</v>
      </c>
      <c r="B39" s="483">
        <v>0</v>
      </c>
      <c r="C39" s="483">
        <v>0.93200000000000005</v>
      </c>
      <c r="D39" s="483">
        <v>0.95</v>
      </c>
      <c r="E39" s="483">
        <v>0.93799999999999994</v>
      </c>
      <c r="F39" s="483">
        <v>0.91400000000000003</v>
      </c>
      <c r="G39" s="483">
        <v>0.94499999999999995</v>
      </c>
      <c r="H39" s="483">
        <v>0.94399999999999995</v>
      </c>
      <c r="I39" s="483">
        <v>0.94799999999999995</v>
      </c>
      <c r="J39" s="483"/>
      <c r="K39" s="483">
        <v>0.94399999999999995</v>
      </c>
      <c r="L39" s="483">
        <v>0.94499999999999995</v>
      </c>
      <c r="M39" s="483"/>
      <c r="N39" s="483">
        <v>0.93899999999999995</v>
      </c>
      <c r="O39" s="483">
        <v>0.94499999999999995</v>
      </c>
      <c r="P39" s="483"/>
      <c r="Q39" s="483">
        <v>0</v>
      </c>
      <c r="R39" s="483">
        <v>0.93700000000000006</v>
      </c>
      <c r="S39" s="483">
        <v>0.94899999999999995</v>
      </c>
      <c r="T39" s="168"/>
      <c r="U39" s="168"/>
      <c r="V39" s="164"/>
    </row>
    <row r="40" spans="1:22" ht="15.75" x14ac:dyDescent="0.25">
      <c r="A40" s="144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42"/>
      <c r="U40" s="142"/>
    </row>
    <row r="41" spans="1:22" ht="15.75" x14ac:dyDescent="0.25">
      <c r="A41" s="144" t="s">
        <v>259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42"/>
      <c r="U41" s="142"/>
    </row>
    <row r="42" spans="1:22" ht="16.5" customHeight="1" x14ac:dyDescent="0.25">
      <c r="A42" s="238" t="s">
        <v>220</v>
      </c>
      <c r="B42" s="354">
        <v>0</v>
      </c>
      <c r="C42" s="354">
        <v>0.64800000000000002</v>
      </c>
      <c r="D42" s="354">
        <v>0.61099999999999999</v>
      </c>
      <c r="E42" s="354">
        <v>0.61</v>
      </c>
      <c r="F42" s="354">
        <v>0.628</v>
      </c>
      <c r="G42" s="354">
        <v>0.67800000000000005</v>
      </c>
      <c r="H42" s="354">
        <v>0.621</v>
      </c>
      <c r="I42" s="354">
        <v>0.59399999999999997</v>
      </c>
      <c r="J42" s="123"/>
      <c r="K42" s="354">
        <v>0.61099999999999999</v>
      </c>
      <c r="L42" s="354">
        <v>0.60899999999999999</v>
      </c>
      <c r="M42" s="123"/>
      <c r="N42" s="354">
        <v>0.624</v>
      </c>
      <c r="O42" s="354">
        <v>0.63700000000000001</v>
      </c>
      <c r="P42" s="123"/>
      <c r="Q42" s="354">
        <v>0</v>
      </c>
      <c r="R42" s="354">
        <v>0.63500000000000001</v>
      </c>
      <c r="S42" s="354">
        <v>0.63100000000000001</v>
      </c>
    </row>
    <row r="43" spans="1:22" ht="16.5" customHeight="1" x14ac:dyDescent="0.25">
      <c r="A43" s="238" t="s">
        <v>378</v>
      </c>
      <c r="B43" s="123">
        <v>0</v>
      </c>
      <c r="C43" s="123">
        <v>4.5999999999999999E-2</v>
      </c>
      <c r="D43" s="123">
        <v>-1.0999999999999999E-2</v>
      </c>
      <c r="E43" s="123">
        <v>-7.0000000000000001E-3</v>
      </c>
      <c r="F43" s="123">
        <v>0.01</v>
      </c>
      <c r="G43" s="123">
        <v>1.2E-2</v>
      </c>
      <c r="H43" s="123">
        <v>1.4E-2</v>
      </c>
      <c r="I43" s="123">
        <v>-4.1000000000000002E-2</v>
      </c>
      <c r="J43" s="123"/>
      <c r="K43" s="123">
        <v>-0.01</v>
      </c>
      <c r="L43" s="123">
        <v>-0.01</v>
      </c>
      <c r="M43" s="123"/>
      <c r="N43" s="123">
        <v>1.2999999999999999E-2</v>
      </c>
      <c r="O43" s="123">
        <v>-2E-3</v>
      </c>
      <c r="P43" s="123"/>
      <c r="Q43" s="123">
        <v>0</v>
      </c>
      <c r="R43" s="123">
        <v>1E-3</v>
      </c>
      <c r="S43" s="123">
        <v>-4.0000000000000001E-3</v>
      </c>
    </row>
    <row r="44" spans="1:22" ht="16.5" customHeight="1" x14ac:dyDescent="0.25">
      <c r="A44" s="238" t="s">
        <v>214</v>
      </c>
      <c r="B44" s="129">
        <v>0</v>
      </c>
      <c r="C44" s="129">
        <v>8.9999999999999993E-3</v>
      </c>
      <c r="D44" s="129">
        <v>0.01</v>
      </c>
      <c r="E44" s="129">
        <v>6.0000000000000001E-3</v>
      </c>
      <c r="F44" s="129">
        <v>2E-3</v>
      </c>
      <c r="G44" s="129">
        <v>3.0000000000000001E-3</v>
      </c>
      <c r="H44" s="129">
        <v>1.0999999999999999E-2</v>
      </c>
      <c r="I44" s="129">
        <v>1.6E-2</v>
      </c>
      <c r="J44" s="125"/>
      <c r="K44" s="129">
        <v>8.0000000000000002E-3</v>
      </c>
      <c r="L44" s="129">
        <v>1.2999999999999999E-2</v>
      </c>
      <c r="M44" s="125"/>
      <c r="N44" s="129">
        <v>8.0000000000000002E-3</v>
      </c>
      <c r="O44" s="129">
        <v>8.9999999999999993E-3</v>
      </c>
      <c r="P44" s="125"/>
      <c r="Q44" s="129">
        <v>0</v>
      </c>
      <c r="R44" s="129">
        <v>7.0000000000000001E-3</v>
      </c>
      <c r="S44" s="129">
        <v>0.01</v>
      </c>
    </row>
    <row r="45" spans="1:22" ht="16.5" customHeight="1" x14ac:dyDescent="0.25">
      <c r="A45" s="446" t="s">
        <v>174</v>
      </c>
      <c r="B45" s="355">
        <f t="shared" ref="B45:E45" si="5">SUM(B42:B44)</f>
        <v>0</v>
      </c>
      <c r="C45" s="355">
        <f t="shared" si="5"/>
        <v>0.70300000000000007</v>
      </c>
      <c r="D45" s="355">
        <f t="shared" si="5"/>
        <v>0.61</v>
      </c>
      <c r="E45" s="355">
        <f t="shared" si="5"/>
        <v>0.60899999999999999</v>
      </c>
      <c r="F45" s="355">
        <f t="shared" ref="F45:I45" si="6">SUM(F42:F44)</f>
        <v>0.64</v>
      </c>
      <c r="G45" s="355">
        <f t="shared" si="6"/>
        <v>0.69300000000000006</v>
      </c>
      <c r="H45" s="355">
        <f t="shared" si="6"/>
        <v>0.64600000000000002</v>
      </c>
      <c r="I45" s="355">
        <f t="shared" si="6"/>
        <v>0.56899999999999995</v>
      </c>
      <c r="J45" s="126"/>
      <c r="K45" s="355">
        <f>SUM(K42:K44)</f>
        <v>0.60899999999999999</v>
      </c>
      <c r="L45" s="355">
        <f>SUM(L42:L44)</f>
        <v>0.61199999999999999</v>
      </c>
      <c r="M45" s="126"/>
      <c r="N45" s="355">
        <f>SUM(N42:N44)</f>
        <v>0.64500000000000002</v>
      </c>
      <c r="O45" s="355">
        <f>SUM(O42:O44)</f>
        <v>0.64400000000000002</v>
      </c>
      <c r="P45" s="126"/>
      <c r="Q45" s="355">
        <f>SUM(Q42:Q44)</f>
        <v>0</v>
      </c>
      <c r="R45" s="355">
        <f>SUM(R42:R44)</f>
        <v>0.64300000000000002</v>
      </c>
      <c r="S45" s="355">
        <f>SUM(S42:S44)</f>
        <v>0.63700000000000001</v>
      </c>
    </row>
    <row r="46" spans="1:22" s="96" customFormat="1" ht="16.5" customHeight="1" x14ac:dyDescent="0.25">
      <c r="A46" s="52"/>
      <c r="B46" s="52"/>
      <c r="C46" s="52"/>
      <c r="D46" s="52"/>
      <c r="E46" s="52"/>
      <c r="F46" s="52"/>
      <c r="G46" s="52"/>
      <c r="I46" s="52"/>
      <c r="T46" s="168"/>
      <c r="U46" s="168"/>
    </row>
    <row r="47" spans="1:22" s="96" customFormat="1" ht="16.5" customHeight="1" x14ac:dyDescent="0.25">
      <c r="A47" s="52"/>
      <c r="B47" s="52"/>
      <c r="C47" s="52"/>
      <c r="D47" s="52"/>
      <c r="E47" s="52"/>
      <c r="F47" s="52"/>
      <c r="G47" s="52"/>
      <c r="I47" s="52"/>
      <c r="T47" s="168"/>
      <c r="U47" s="168"/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&amp;C6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"/>
  <dimension ref="A1:V38"/>
  <sheetViews>
    <sheetView zoomScale="85" zoomScaleNormal="85" workbookViewId="0"/>
  </sheetViews>
  <sheetFormatPr defaultRowHeight="16.5" customHeight="1" x14ac:dyDescent="0.25"/>
  <cols>
    <col min="1" max="1" width="55.88671875" style="143" customWidth="1"/>
    <col min="2" max="2" width="10.77734375" style="96" hidden="1" customWidth="1"/>
    <col min="3" max="7" width="10.77734375" style="96" customWidth="1"/>
    <col min="8" max="9" width="10.77734375" style="96" hidden="1" customWidth="1"/>
    <col min="10" max="10" width="1.77734375" style="96" customWidth="1"/>
    <col min="11" max="12" width="10.88671875" style="96" hidden="1" customWidth="1"/>
    <col min="13" max="13" width="1.77734375" style="96" hidden="1" customWidth="1"/>
    <col min="14" max="15" width="10.77734375" style="96" customWidth="1"/>
    <col min="16" max="16" width="1.88671875" style="96" hidden="1" customWidth="1"/>
    <col min="17" max="19" width="10.77734375" style="96" hidden="1" customWidth="1"/>
    <col min="20" max="21" width="8.88671875" style="168"/>
    <col min="22" max="22" width="9.77734375" style="96" customWidth="1"/>
    <col min="23" max="16384" width="8.88671875" style="143"/>
  </cols>
  <sheetData>
    <row r="1" spans="1:22" s="135" customFormat="1" ht="18" x14ac:dyDescent="0.25">
      <c r="A1" s="131" t="str">
        <f>'Cover Page'!$H$10</f>
        <v>American Financial Group, Inc.</v>
      </c>
      <c r="B1" s="132"/>
      <c r="C1" s="132"/>
      <c r="D1" s="132"/>
      <c r="E1" s="132"/>
      <c r="F1" s="132"/>
      <c r="G1" s="132"/>
      <c r="H1" s="132"/>
      <c r="I1" s="132"/>
      <c r="J1" s="133"/>
      <c r="K1" s="132"/>
      <c r="L1" s="134"/>
      <c r="M1" s="133"/>
      <c r="N1" s="133"/>
      <c r="O1" s="133"/>
      <c r="P1" s="133"/>
      <c r="Q1" s="133"/>
      <c r="R1" s="133"/>
      <c r="S1" s="133"/>
      <c r="V1" s="136"/>
    </row>
    <row r="2" spans="1:22" s="135" customFormat="1" ht="18" x14ac:dyDescent="0.25">
      <c r="A2" s="131" t="s">
        <v>153</v>
      </c>
      <c r="B2" s="132"/>
      <c r="C2" s="132"/>
      <c r="D2" s="132"/>
      <c r="E2" s="132"/>
      <c r="F2" s="132"/>
      <c r="G2" s="132"/>
      <c r="H2" s="132"/>
      <c r="I2" s="132"/>
      <c r="J2" s="133"/>
      <c r="K2" s="132"/>
      <c r="L2" s="134"/>
      <c r="M2" s="133"/>
      <c r="N2" s="133"/>
      <c r="O2" s="133"/>
      <c r="P2" s="133"/>
      <c r="Q2" s="133"/>
      <c r="R2" s="133"/>
      <c r="S2" s="133"/>
      <c r="V2" s="136"/>
    </row>
    <row r="3" spans="1:22" s="135" customFormat="1" ht="18" x14ac:dyDescent="0.25">
      <c r="A3" s="16" t="s">
        <v>14</v>
      </c>
      <c r="B3" s="132"/>
      <c r="C3" s="132"/>
      <c r="D3" s="132"/>
      <c r="E3" s="132"/>
      <c r="F3" s="132"/>
      <c r="G3" s="132"/>
      <c r="H3" s="132"/>
      <c r="I3" s="132"/>
      <c r="J3" s="133"/>
      <c r="K3" s="132"/>
      <c r="L3" s="134"/>
      <c r="M3" s="133"/>
      <c r="N3" s="133"/>
      <c r="O3" s="133"/>
      <c r="P3" s="133"/>
      <c r="Q3" s="133"/>
      <c r="R3" s="133"/>
      <c r="S3" s="133"/>
      <c r="V3" s="136"/>
    </row>
    <row r="4" spans="1:22" ht="15.75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9"/>
      <c r="K4" s="138"/>
      <c r="L4" s="140"/>
      <c r="M4" s="139"/>
      <c r="N4" s="139"/>
      <c r="O4" s="141"/>
      <c r="P4" s="139"/>
      <c r="Q4" s="139"/>
      <c r="R4" s="141"/>
      <c r="S4" s="141"/>
      <c r="T4" s="142"/>
      <c r="U4" s="142"/>
    </row>
    <row r="5" spans="1:22" ht="15.75" x14ac:dyDescent="0.25">
      <c r="A5" s="144"/>
      <c r="B5" s="145" t="s">
        <v>2</v>
      </c>
      <c r="C5" s="145" t="s">
        <v>2</v>
      </c>
      <c r="D5" s="145"/>
      <c r="E5" s="145"/>
      <c r="F5" s="146"/>
      <c r="G5" s="146"/>
      <c r="H5" s="146"/>
      <c r="I5" s="146"/>
      <c r="J5" s="147"/>
      <c r="K5" s="148" t="s">
        <v>6</v>
      </c>
      <c r="L5" s="149"/>
      <c r="M5" s="147"/>
      <c r="N5" s="148" t="s">
        <v>7</v>
      </c>
      <c r="O5" s="149"/>
      <c r="P5" s="147"/>
      <c r="Q5" s="148" t="s">
        <v>3</v>
      </c>
      <c r="R5" s="148" t="s">
        <v>3</v>
      </c>
      <c r="S5" s="148"/>
      <c r="T5" s="142"/>
      <c r="U5" s="142"/>
    </row>
    <row r="6" spans="1:22" ht="20.25" x14ac:dyDescent="0.55000000000000004">
      <c r="A6" s="150"/>
      <c r="B6" s="69" t="s">
        <v>384</v>
      </c>
      <c r="C6" s="69" t="s">
        <v>385</v>
      </c>
      <c r="D6" s="69" t="s">
        <v>386</v>
      </c>
      <c r="E6" s="69" t="s">
        <v>387</v>
      </c>
      <c r="F6" s="69" t="s">
        <v>322</v>
      </c>
      <c r="G6" s="69" t="s">
        <v>323</v>
      </c>
      <c r="H6" s="69" t="s">
        <v>324</v>
      </c>
      <c r="I6" s="69" t="s">
        <v>325</v>
      </c>
      <c r="J6" s="84"/>
      <c r="K6" s="84" t="s">
        <v>386</v>
      </c>
      <c r="L6" s="84" t="s">
        <v>324</v>
      </c>
      <c r="M6" s="84"/>
      <c r="N6" s="84" t="s">
        <v>385</v>
      </c>
      <c r="O6" s="84" t="s">
        <v>323</v>
      </c>
      <c r="P6" s="84"/>
      <c r="Q6" s="84" t="s">
        <v>384</v>
      </c>
      <c r="R6" s="84" t="s">
        <v>322</v>
      </c>
      <c r="S6" s="84" t="s">
        <v>117</v>
      </c>
      <c r="T6" s="142"/>
      <c r="U6" s="142"/>
    </row>
    <row r="7" spans="1:22" ht="15.75" x14ac:dyDescent="0.25">
      <c r="A7" s="150"/>
      <c r="B7" s="17"/>
      <c r="C7" s="17"/>
      <c r="D7" s="17"/>
      <c r="E7" s="17"/>
      <c r="F7" s="17"/>
      <c r="G7" s="17"/>
      <c r="H7" s="17"/>
      <c r="I7" s="17"/>
      <c r="J7" s="151"/>
      <c r="K7" s="93"/>
      <c r="L7" s="93"/>
      <c r="M7" s="151"/>
      <c r="N7" s="93"/>
      <c r="O7" s="93"/>
      <c r="P7" s="151"/>
      <c r="Q7" s="93"/>
      <c r="R7" s="93"/>
      <c r="S7" s="93"/>
      <c r="T7" s="142"/>
      <c r="U7" s="142"/>
    </row>
    <row r="8" spans="1:22" ht="15" customHeight="1" x14ac:dyDescent="0.25">
      <c r="A8" s="152" t="s">
        <v>215</v>
      </c>
      <c r="B8" s="44">
        <f>Q8-N8</f>
        <v>-4476</v>
      </c>
      <c r="C8" s="44">
        <f>N8-K8</f>
        <v>1962</v>
      </c>
      <c r="D8" s="44">
        <f>K8-E8</f>
        <v>1318</v>
      </c>
      <c r="E8" s="44">
        <v>1196</v>
      </c>
      <c r="F8" s="44">
        <f>R8-O8</f>
        <v>1303</v>
      </c>
      <c r="G8" s="44">
        <f>O8-L8</f>
        <v>1859</v>
      </c>
      <c r="H8" s="44">
        <f>L8-I8</f>
        <v>1291</v>
      </c>
      <c r="I8" s="44">
        <v>1024</v>
      </c>
      <c r="J8" s="169"/>
      <c r="K8" s="44">
        <v>2514</v>
      </c>
      <c r="L8" s="44">
        <v>2315</v>
      </c>
      <c r="M8" s="169"/>
      <c r="N8" s="44">
        <v>4476</v>
      </c>
      <c r="O8" s="44">
        <v>4174</v>
      </c>
      <c r="P8" s="169"/>
      <c r="Q8" s="44">
        <v>0</v>
      </c>
      <c r="R8" s="44">
        <v>5477</v>
      </c>
      <c r="S8" s="44">
        <v>4805</v>
      </c>
      <c r="T8" s="142"/>
      <c r="U8" s="142"/>
    </row>
    <row r="9" spans="1:22" ht="17.25" x14ac:dyDescent="0.35">
      <c r="A9" s="153" t="s">
        <v>216</v>
      </c>
      <c r="B9" s="48">
        <f t="shared" ref="B9:H9" si="0">B10-B8</f>
        <v>1205</v>
      </c>
      <c r="C9" s="48">
        <f t="shared" si="0"/>
        <v>-643</v>
      </c>
      <c r="D9" s="48">
        <f t="shared" si="0"/>
        <v>-292</v>
      </c>
      <c r="E9" s="48">
        <f t="shared" si="0"/>
        <v>-270</v>
      </c>
      <c r="F9" s="48">
        <f t="shared" si="0"/>
        <v>-278</v>
      </c>
      <c r="G9" s="48">
        <f t="shared" si="0"/>
        <v>-617</v>
      </c>
      <c r="H9" s="48">
        <f t="shared" si="0"/>
        <v>-293</v>
      </c>
      <c r="I9" s="48">
        <f t="shared" ref="I9" si="1">I10-I8</f>
        <v>-269</v>
      </c>
      <c r="K9" s="48">
        <f t="shared" ref="K9" si="2">K10-K8</f>
        <v>-562</v>
      </c>
      <c r="L9" s="48">
        <f t="shared" ref="L9" si="3">L10-L8</f>
        <v>-562</v>
      </c>
      <c r="N9" s="48">
        <f t="shared" ref="N9" si="4">N10-N8</f>
        <v>-1205</v>
      </c>
      <c r="O9" s="48">
        <f t="shared" ref="O9" si="5">O10-O8</f>
        <v>-1179</v>
      </c>
      <c r="Q9" s="48">
        <f t="shared" ref="Q9" si="6">Q10-Q8</f>
        <v>0</v>
      </c>
      <c r="R9" s="48">
        <f t="shared" ref="R9:S9" si="7">R10-R8</f>
        <v>-1457</v>
      </c>
      <c r="S9" s="48">
        <f t="shared" si="7"/>
        <v>-1464</v>
      </c>
      <c r="T9" s="142"/>
      <c r="U9" s="142"/>
    </row>
    <row r="10" spans="1:22" ht="15" customHeight="1" x14ac:dyDescent="0.25">
      <c r="A10" s="144" t="s">
        <v>217</v>
      </c>
      <c r="B10" s="47">
        <f>Q10-N10</f>
        <v>-3271</v>
      </c>
      <c r="C10" s="47">
        <f>N10-K10</f>
        <v>1319</v>
      </c>
      <c r="D10" s="47">
        <f>K10-E10</f>
        <v>1026</v>
      </c>
      <c r="E10" s="47">
        <v>926</v>
      </c>
      <c r="F10" s="47">
        <f>R10-O10</f>
        <v>1025</v>
      </c>
      <c r="G10" s="47">
        <f>O10-L10</f>
        <v>1242</v>
      </c>
      <c r="H10" s="47">
        <f>L10-I10</f>
        <v>998</v>
      </c>
      <c r="I10" s="47">
        <v>755</v>
      </c>
      <c r="K10" s="47">
        <v>1952</v>
      </c>
      <c r="L10" s="47">
        <v>1753</v>
      </c>
      <c r="N10" s="47">
        <v>3271</v>
      </c>
      <c r="O10" s="47">
        <v>2995</v>
      </c>
      <c r="Q10" s="47">
        <v>0</v>
      </c>
      <c r="R10" s="47">
        <v>4020</v>
      </c>
      <c r="S10" s="47">
        <v>3341</v>
      </c>
      <c r="T10" s="142"/>
      <c r="U10" s="142"/>
    </row>
    <row r="11" spans="1:22" ht="17.25" x14ac:dyDescent="0.35">
      <c r="A11" s="153" t="s">
        <v>48</v>
      </c>
      <c r="B11" s="48">
        <f t="shared" ref="B11:H11" si="8">B12-B10</f>
        <v>167</v>
      </c>
      <c r="C11" s="48">
        <f t="shared" si="8"/>
        <v>-146</v>
      </c>
      <c r="D11" s="48">
        <f t="shared" si="8"/>
        <v>-41</v>
      </c>
      <c r="E11" s="48">
        <f t="shared" si="8"/>
        <v>20</v>
      </c>
      <c r="F11" s="48">
        <f t="shared" si="8"/>
        <v>36</v>
      </c>
      <c r="G11" s="48">
        <f t="shared" si="8"/>
        <v>-110</v>
      </c>
      <c r="H11" s="48">
        <f t="shared" si="8"/>
        <v>-67</v>
      </c>
      <c r="I11" s="48">
        <f t="shared" ref="I11" si="9">I12-I10</f>
        <v>-1</v>
      </c>
      <c r="K11" s="48">
        <f t="shared" ref="K11" si="10">K12-K10</f>
        <v>-21</v>
      </c>
      <c r="L11" s="48">
        <f t="shared" ref="L11" si="11">L12-L10</f>
        <v>-68</v>
      </c>
      <c r="N11" s="48">
        <f t="shared" ref="N11" si="12">N12-N10</f>
        <v>-167</v>
      </c>
      <c r="O11" s="48">
        <f t="shared" ref="O11" si="13">O12-O10</f>
        <v>-178</v>
      </c>
      <c r="Q11" s="48">
        <f t="shared" ref="Q11" si="14">Q12-Q10</f>
        <v>0</v>
      </c>
      <c r="R11" s="48">
        <f t="shared" ref="R11:S11" si="15">R12-R10</f>
        <v>-142</v>
      </c>
      <c r="S11" s="48">
        <f t="shared" si="15"/>
        <v>-137</v>
      </c>
      <c r="T11" s="142"/>
      <c r="U11" s="142"/>
    </row>
    <row r="12" spans="1:22" ht="15.75" x14ac:dyDescent="0.25">
      <c r="A12" s="144" t="s">
        <v>218</v>
      </c>
      <c r="B12" s="47">
        <f>Q12-N12</f>
        <v>-3104</v>
      </c>
      <c r="C12" s="47">
        <f>N12-K12</f>
        <v>1173</v>
      </c>
      <c r="D12" s="47">
        <f>K12-E12</f>
        <v>985</v>
      </c>
      <c r="E12" s="47">
        <v>946</v>
      </c>
      <c r="F12" s="47">
        <f>R12-O12</f>
        <v>1061</v>
      </c>
      <c r="G12" s="47">
        <f>O12-L12</f>
        <v>1132</v>
      </c>
      <c r="H12" s="47">
        <f>L12-I12</f>
        <v>931</v>
      </c>
      <c r="I12" s="47">
        <v>754</v>
      </c>
      <c r="K12" s="47">
        <v>1931</v>
      </c>
      <c r="L12" s="47">
        <v>1685</v>
      </c>
      <c r="N12" s="47">
        <v>3104</v>
      </c>
      <c r="O12" s="47">
        <v>2817</v>
      </c>
      <c r="Q12" s="47">
        <v>0</v>
      </c>
      <c r="R12" s="47">
        <v>3878</v>
      </c>
      <c r="S12" s="47">
        <v>3204</v>
      </c>
      <c r="T12" s="142"/>
      <c r="U12" s="142"/>
    </row>
    <row r="13" spans="1:22" ht="15.75" customHeight="1" x14ac:dyDescent="0.25">
      <c r="A13" s="144"/>
      <c r="B13" s="93"/>
      <c r="C13" s="93"/>
      <c r="D13" s="93"/>
      <c r="E13" s="93"/>
      <c r="F13" s="93"/>
      <c r="G13" s="93"/>
      <c r="H13" s="93"/>
      <c r="I13" s="93"/>
      <c r="K13" s="93"/>
      <c r="L13" s="93"/>
      <c r="N13" s="93"/>
      <c r="O13" s="93"/>
      <c r="Q13" s="93"/>
      <c r="R13" s="93"/>
      <c r="S13" s="93"/>
      <c r="T13" s="142"/>
      <c r="U13" s="142"/>
    </row>
    <row r="14" spans="1:22" ht="15" customHeight="1" x14ac:dyDescent="0.25">
      <c r="A14" s="144" t="s">
        <v>154</v>
      </c>
      <c r="B14" s="47">
        <f>Q14-N14</f>
        <v>-1932</v>
      </c>
      <c r="C14" s="47">
        <f>N14-K14</f>
        <v>756</v>
      </c>
      <c r="D14" s="47">
        <f>K14-E14</f>
        <v>600</v>
      </c>
      <c r="E14" s="47">
        <v>576</v>
      </c>
      <c r="F14" s="47">
        <f>R14-O14</f>
        <v>679</v>
      </c>
      <c r="G14" s="47">
        <f>O14-L14</f>
        <v>760</v>
      </c>
      <c r="H14" s="47">
        <f>L14-I14</f>
        <v>602</v>
      </c>
      <c r="I14" s="47">
        <v>428</v>
      </c>
      <c r="K14" s="47">
        <v>1176</v>
      </c>
      <c r="L14" s="47">
        <v>1030</v>
      </c>
      <c r="N14" s="47">
        <v>1932</v>
      </c>
      <c r="O14" s="47">
        <v>1790</v>
      </c>
      <c r="Q14" s="47">
        <v>0</v>
      </c>
      <c r="R14" s="47">
        <v>2469</v>
      </c>
      <c r="S14" s="47">
        <v>1979</v>
      </c>
      <c r="T14" s="142"/>
      <c r="U14" s="142"/>
    </row>
    <row r="15" spans="1:22" ht="17.25" x14ac:dyDescent="0.35">
      <c r="A15" s="144" t="s">
        <v>299</v>
      </c>
      <c r="B15" s="48">
        <f>Q15-N15</f>
        <v>-977</v>
      </c>
      <c r="C15" s="48">
        <f>N15-K15</f>
        <v>333</v>
      </c>
      <c r="D15" s="48">
        <f>K15-E15</f>
        <v>334</v>
      </c>
      <c r="E15" s="48">
        <v>310</v>
      </c>
      <c r="F15" s="48">
        <f>R15-O15</f>
        <v>303</v>
      </c>
      <c r="G15" s="48">
        <f>O15-L15</f>
        <v>302</v>
      </c>
      <c r="H15" s="48">
        <f>L15-I15</f>
        <v>300</v>
      </c>
      <c r="I15" s="48">
        <v>267</v>
      </c>
      <c r="K15" s="48">
        <v>644</v>
      </c>
      <c r="L15" s="48">
        <v>567</v>
      </c>
      <c r="N15" s="48">
        <v>977</v>
      </c>
      <c r="O15" s="48">
        <v>869</v>
      </c>
      <c r="Q15" s="48">
        <v>0</v>
      </c>
      <c r="R15" s="48">
        <v>1172</v>
      </c>
      <c r="S15" s="48">
        <v>1019</v>
      </c>
      <c r="T15" s="142"/>
      <c r="U15" s="142"/>
    </row>
    <row r="16" spans="1:22" s="156" customFormat="1" ht="18" x14ac:dyDescent="0.4">
      <c r="A16" s="154" t="s">
        <v>77</v>
      </c>
      <c r="B16" s="170">
        <f t="shared" ref="B16:H16" si="16">B12-SUM(B14:B15)</f>
        <v>-195</v>
      </c>
      <c r="C16" s="170">
        <f t="shared" si="16"/>
        <v>84</v>
      </c>
      <c r="D16" s="170">
        <f t="shared" si="16"/>
        <v>51</v>
      </c>
      <c r="E16" s="170">
        <f t="shared" si="16"/>
        <v>60</v>
      </c>
      <c r="F16" s="170">
        <f t="shared" si="16"/>
        <v>79</v>
      </c>
      <c r="G16" s="170">
        <f t="shared" si="16"/>
        <v>70</v>
      </c>
      <c r="H16" s="170">
        <f t="shared" si="16"/>
        <v>29</v>
      </c>
      <c r="I16" s="170">
        <f t="shared" ref="I16" si="17">I12-SUM(I14:I15)</f>
        <v>59</v>
      </c>
      <c r="J16" s="170"/>
      <c r="K16" s="170">
        <f t="shared" ref="K16:L16" si="18">K12-SUM(K14:K15)</f>
        <v>111</v>
      </c>
      <c r="L16" s="170">
        <f t="shared" si="18"/>
        <v>88</v>
      </c>
      <c r="M16" s="170"/>
      <c r="N16" s="170">
        <f t="shared" ref="N16" si="19">N12-SUM(N14:N15)</f>
        <v>195</v>
      </c>
      <c r="O16" s="170">
        <f t="shared" ref="O16" si="20">O12-SUM(O14:O15)</f>
        <v>158</v>
      </c>
      <c r="P16" s="170"/>
      <c r="Q16" s="170">
        <f t="shared" ref="Q16:R16" si="21">Q12-SUM(Q14:Q15)</f>
        <v>0</v>
      </c>
      <c r="R16" s="170">
        <f t="shared" si="21"/>
        <v>237</v>
      </c>
      <c r="S16" s="170">
        <f t="shared" ref="S16" si="22">S12-SUM(S14:S15)</f>
        <v>206</v>
      </c>
      <c r="T16" s="155"/>
      <c r="U16" s="155"/>
      <c r="V16" s="151"/>
    </row>
    <row r="17" spans="1:22" s="156" customFormat="1" ht="15.75" customHeight="1" x14ac:dyDescent="0.4">
      <c r="A17" s="154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55"/>
      <c r="U17" s="155"/>
      <c r="V17" s="151"/>
    </row>
    <row r="18" spans="1:22" s="156" customFormat="1" ht="15.75" customHeight="1" x14ac:dyDescent="0.4">
      <c r="A18" s="152" t="s">
        <v>219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55"/>
      <c r="U18" s="155"/>
      <c r="V18" s="151"/>
    </row>
    <row r="19" spans="1:22" ht="15.75" customHeight="1" x14ac:dyDescent="0.35">
      <c r="A19" s="415" t="s">
        <v>210</v>
      </c>
      <c r="B19" s="157"/>
      <c r="C19" s="157"/>
      <c r="D19" s="157"/>
      <c r="E19" s="157"/>
      <c r="F19" s="157"/>
      <c r="G19" s="157"/>
      <c r="H19" s="157"/>
      <c r="I19" s="157"/>
      <c r="J19" s="151"/>
      <c r="K19" s="157"/>
      <c r="L19" s="157"/>
      <c r="M19" s="151"/>
      <c r="N19" s="157"/>
      <c r="O19" s="157"/>
      <c r="P19" s="151"/>
      <c r="Q19" s="157"/>
      <c r="R19" s="157"/>
      <c r="S19" s="157"/>
      <c r="T19" s="142"/>
      <c r="U19" s="142"/>
    </row>
    <row r="20" spans="1:22" ht="15" customHeight="1" x14ac:dyDescent="0.25">
      <c r="A20" s="457" t="s">
        <v>211</v>
      </c>
      <c r="B20" s="44">
        <f>Q20-N20</f>
        <v>0</v>
      </c>
      <c r="C20" s="44">
        <f>N20-K20</f>
        <v>0</v>
      </c>
      <c r="D20" s="44">
        <f>K20-E20</f>
        <v>0</v>
      </c>
      <c r="E20" s="44">
        <v>0</v>
      </c>
      <c r="F20" s="44">
        <f>R20-O20</f>
        <v>0</v>
      </c>
      <c r="G20" s="44">
        <f>O20-L20</f>
        <v>0</v>
      </c>
      <c r="H20" s="44">
        <f>L20-I20</f>
        <v>0</v>
      </c>
      <c r="I20" s="44">
        <v>0</v>
      </c>
      <c r="J20" s="45"/>
      <c r="K20" s="44">
        <v>0</v>
      </c>
      <c r="L20" s="44">
        <v>0</v>
      </c>
      <c r="M20" s="45"/>
      <c r="N20" s="44">
        <v>0</v>
      </c>
      <c r="O20" s="44">
        <v>0</v>
      </c>
      <c r="P20" s="45"/>
      <c r="Q20" s="44">
        <v>0</v>
      </c>
      <c r="R20" s="44">
        <v>0</v>
      </c>
      <c r="S20" s="44">
        <v>0</v>
      </c>
      <c r="T20" s="142"/>
      <c r="U20" s="142"/>
    </row>
    <row r="21" spans="1:22" ht="17.25" x14ac:dyDescent="0.35">
      <c r="A21" s="457" t="s">
        <v>212</v>
      </c>
      <c r="B21" s="48">
        <f>B22-B20</f>
        <v>-26</v>
      </c>
      <c r="C21" s="48">
        <f t="shared" ref="C21:H21" si="23">C22-C20</f>
        <v>10</v>
      </c>
      <c r="D21" s="48">
        <f t="shared" si="23"/>
        <v>10</v>
      </c>
      <c r="E21" s="48">
        <f t="shared" si="23"/>
        <v>6</v>
      </c>
      <c r="F21" s="48">
        <f t="shared" si="23"/>
        <v>3</v>
      </c>
      <c r="G21" s="48">
        <f t="shared" si="23"/>
        <v>3</v>
      </c>
      <c r="H21" s="48">
        <f t="shared" si="23"/>
        <v>10</v>
      </c>
      <c r="I21" s="48">
        <f t="shared" ref="I21" si="24">I22-I20</f>
        <v>12</v>
      </c>
      <c r="J21" s="99"/>
      <c r="K21" s="48">
        <f t="shared" ref="K21" si="25">K22-K20</f>
        <v>16</v>
      </c>
      <c r="L21" s="48">
        <f t="shared" ref="L21" si="26">L22-L20</f>
        <v>22</v>
      </c>
      <c r="M21" s="99"/>
      <c r="N21" s="48">
        <f t="shared" ref="N21" si="27">N22-N20</f>
        <v>26</v>
      </c>
      <c r="O21" s="48">
        <f t="shared" ref="O21" si="28">O22-O20</f>
        <v>25</v>
      </c>
      <c r="P21" s="99"/>
      <c r="Q21" s="48">
        <f t="shared" ref="Q21:S21" si="29">Q22-Q20</f>
        <v>0</v>
      </c>
      <c r="R21" s="48">
        <f t="shared" si="29"/>
        <v>28</v>
      </c>
      <c r="S21" s="48">
        <f t="shared" si="29"/>
        <v>31</v>
      </c>
      <c r="T21" s="142"/>
      <c r="U21" s="142"/>
    </row>
    <row r="22" spans="1:22" ht="17.25" x14ac:dyDescent="0.35">
      <c r="A22" s="457" t="s">
        <v>139</v>
      </c>
      <c r="B22" s="379">
        <f>Q22-N22</f>
        <v>-26</v>
      </c>
      <c r="C22" s="379">
        <f>N22-K22</f>
        <v>10</v>
      </c>
      <c r="D22" s="379">
        <f>K22-E22</f>
        <v>10</v>
      </c>
      <c r="E22" s="379">
        <v>6</v>
      </c>
      <c r="F22" s="379">
        <f>R22-O22</f>
        <v>3</v>
      </c>
      <c r="G22" s="379">
        <f>O22-L22</f>
        <v>3</v>
      </c>
      <c r="H22" s="379">
        <f>L22-I22</f>
        <v>10</v>
      </c>
      <c r="I22" s="379">
        <v>12</v>
      </c>
      <c r="J22" s="380"/>
      <c r="K22" s="379">
        <v>16</v>
      </c>
      <c r="L22" s="379">
        <v>22</v>
      </c>
      <c r="M22" s="380"/>
      <c r="N22" s="379">
        <v>26</v>
      </c>
      <c r="O22" s="379">
        <v>25</v>
      </c>
      <c r="P22" s="380"/>
      <c r="Q22" s="379">
        <v>0</v>
      </c>
      <c r="R22" s="379">
        <v>28</v>
      </c>
      <c r="S22" s="379">
        <v>31</v>
      </c>
    </row>
    <row r="23" spans="1:22" ht="15.75" customHeight="1" x14ac:dyDescent="0.25">
      <c r="A23" s="392"/>
      <c r="B23" s="44"/>
      <c r="C23" s="44"/>
      <c r="D23" s="44"/>
      <c r="E23" s="44"/>
      <c r="F23" s="44"/>
      <c r="G23" s="44"/>
      <c r="H23" s="44"/>
      <c r="I23" s="44"/>
      <c r="J23" s="45"/>
      <c r="K23" s="44"/>
      <c r="L23" s="44"/>
      <c r="M23" s="45"/>
      <c r="N23" s="44"/>
      <c r="O23" s="44"/>
      <c r="P23" s="45"/>
      <c r="Q23" s="44"/>
      <c r="R23" s="44"/>
      <c r="S23" s="44"/>
      <c r="T23" s="142"/>
      <c r="U23" s="142"/>
    </row>
    <row r="24" spans="1:22" ht="17.25" x14ac:dyDescent="0.35">
      <c r="A24" s="415" t="s">
        <v>376</v>
      </c>
      <c r="B24" s="379">
        <f>Q24-N24</f>
        <v>32</v>
      </c>
      <c r="C24" s="379">
        <f>N24-K24</f>
        <v>-14</v>
      </c>
      <c r="D24" s="379">
        <f>K24-E24</f>
        <v>-11</v>
      </c>
      <c r="E24" s="379">
        <v>-7</v>
      </c>
      <c r="F24" s="379">
        <f>R24-O24</f>
        <v>10</v>
      </c>
      <c r="G24" s="379">
        <f>O24-L24</f>
        <v>-11</v>
      </c>
      <c r="H24" s="379">
        <f>L24-I24</f>
        <v>14</v>
      </c>
      <c r="I24" s="379">
        <v>-32</v>
      </c>
      <c r="J24" s="380"/>
      <c r="K24" s="379">
        <v>-18</v>
      </c>
      <c r="L24" s="379">
        <v>-18</v>
      </c>
      <c r="M24" s="380"/>
      <c r="N24" s="379">
        <v>-32</v>
      </c>
      <c r="O24" s="379">
        <v>-29</v>
      </c>
      <c r="P24" s="380"/>
      <c r="Q24" s="379">
        <v>0</v>
      </c>
      <c r="R24" s="379">
        <v>-19</v>
      </c>
      <c r="S24" s="379">
        <v>-75</v>
      </c>
      <c r="T24" s="158"/>
      <c r="U24" s="158"/>
    </row>
    <row r="25" spans="1:22" ht="15.75" x14ac:dyDescent="0.25">
      <c r="A25" s="144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42"/>
      <c r="U25" s="142"/>
    </row>
    <row r="26" spans="1:22" ht="15.75" x14ac:dyDescent="0.25">
      <c r="A26" s="144" t="s">
        <v>213</v>
      </c>
      <c r="B26" s="93"/>
      <c r="C26" s="93"/>
      <c r="D26" s="93"/>
      <c r="E26" s="93"/>
      <c r="F26" s="93"/>
      <c r="G26" s="93"/>
      <c r="H26" s="93"/>
      <c r="I26" s="93"/>
      <c r="K26" s="93"/>
      <c r="L26" s="93"/>
      <c r="N26" s="93"/>
      <c r="O26" s="93"/>
      <c r="Q26" s="93"/>
      <c r="R26" s="93"/>
      <c r="S26" s="93"/>
      <c r="T26" s="142"/>
      <c r="U26" s="142"/>
    </row>
    <row r="27" spans="1:22" ht="15" customHeight="1" x14ac:dyDescent="0.25">
      <c r="A27" s="238" t="s">
        <v>174</v>
      </c>
      <c r="B27" s="122">
        <v>0</v>
      </c>
      <c r="C27" s="122">
        <v>0.64500000000000002</v>
      </c>
      <c r="D27" s="122">
        <v>0.61</v>
      </c>
      <c r="E27" s="122">
        <v>0.60799999999999998</v>
      </c>
      <c r="F27" s="122">
        <v>0.64</v>
      </c>
      <c r="G27" s="122">
        <v>0.67100000000000004</v>
      </c>
      <c r="H27" s="122">
        <v>0.64600000000000002</v>
      </c>
      <c r="I27" s="122">
        <v>0.56899999999999995</v>
      </c>
      <c r="J27" s="123"/>
      <c r="K27" s="122">
        <v>0.60899999999999999</v>
      </c>
      <c r="L27" s="122">
        <v>0.61099999999999999</v>
      </c>
      <c r="M27" s="123"/>
      <c r="N27" s="122">
        <v>0.622</v>
      </c>
      <c r="O27" s="122">
        <v>0.63600000000000001</v>
      </c>
      <c r="P27" s="123"/>
      <c r="Q27" s="122">
        <v>0</v>
      </c>
      <c r="R27" s="122">
        <v>0.63700000000000001</v>
      </c>
      <c r="S27" s="122">
        <v>0.61699999999999999</v>
      </c>
      <c r="T27" s="142"/>
      <c r="U27" s="142"/>
    </row>
    <row r="28" spans="1:22" ht="15" customHeight="1" x14ac:dyDescent="0.25">
      <c r="A28" s="392" t="s">
        <v>300</v>
      </c>
      <c r="B28" s="124">
        <v>0</v>
      </c>
      <c r="C28" s="124">
        <v>0.28399999999999997</v>
      </c>
      <c r="D28" s="124">
        <v>0.33900000000000002</v>
      </c>
      <c r="E28" s="124">
        <v>0.32800000000000001</v>
      </c>
      <c r="F28" s="124">
        <v>0.28599999999999998</v>
      </c>
      <c r="G28" s="124">
        <v>0.26700000000000002</v>
      </c>
      <c r="H28" s="124">
        <v>0.32300000000000001</v>
      </c>
      <c r="I28" s="124">
        <v>0.35299999999999998</v>
      </c>
      <c r="J28" s="125"/>
      <c r="K28" s="124">
        <v>0.33300000000000002</v>
      </c>
      <c r="L28" s="124">
        <v>0.33600000000000002</v>
      </c>
      <c r="M28" s="125"/>
      <c r="N28" s="124">
        <v>0.315</v>
      </c>
      <c r="O28" s="124">
        <v>0.308</v>
      </c>
      <c r="P28" s="125"/>
      <c r="Q28" s="124">
        <v>0</v>
      </c>
      <c r="R28" s="124">
        <v>0.30199999999999999</v>
      </c>
      <c r="S28" s="124">
        <v>0.318</v>
      </c>
      <c r="T28" s="142"/>
      <c r="U28" s="142"/>
    </row>
    <row r="29" spans="1:22" s="156" customFormat="1" ht="15.75" x14ac:dyDescent="0.25">
      <c r="A29" s="447" t="s">
        <v>76</v>
      </c>
      <c r="B29" s="126">
        <f t="shared" ref="B29:Q29" si="30">SUM(B27:B28)</f>
        <v>0</v>
      </c>
      <c r="C29" s="126">
        <f t="shared" si="30"/>
        <v>0.92900000000000005</v>
      </c>
      <c r="D29" s="126">
        <f t="shared" si="30"/>
        <v>0.94900000000000007</v>
      </c>
      <c r="E29" s="126">
        <f t="shared" si="30"/>
        <v>0.93599999999999994</v>
      </c>
      <c r="F29" s="126">
        <f t="shared" ref="F29:I29" si="31">SUM(F27:F28)</f>
        <v>0.92599999999999993</v>
      </c>
      <c r="G29" s="126">
        <f t="shared" si="31"/>
        <v>0.93800000000000006</v>
      </c>
      <c r="H29" s="126">
        <f t="shared" si="31"/>
        <v>0.96900000000000008</v>
      </c>
      <c r="I29" s="126">
        <f t="shared" si="31"/>
        <v>0.92199999999999993</v>
      </c>
      <c r="J29" s="126"/>
      <c r="K29" s="126">
        <f t="shared" si="30"/>
        <v>0.94199999999999995</v>
      </c>
      <c r="L29" s="126">
        <f t="shared" ref="L29" si="32">SUM(L27:L28)</f>
        <v>0.94700000000000006</v>
      </c>
      <c r="M29" s="126"/>
      <c r="N29" s="126">
        <f t="shared" si="30"/>
        <v>0.93700000000000006</v>
      </c>
      <c r="O29" s="126">
        <f t="shared" ref="O29" si="33">SUM(O27:O28)</f>
        <v>0.94399999999999995</v>
      </c>
      <c r="P29" s="126"/>
      <c r="Q29" s="126">
        <f t="shared" si="30"/>
        <v>0</v>
      </c>
      <c r="R29" s="126">
        <f t="shared" ref="R29:S29" si="34">SUM(R27:R28)</f>
        <v>0.93900000000000006</v>
      </c>
      <c r="S29" s="126">
        <f t="shared" si="34"/>
        <v>0.93500000000000005</v>
      </c>
      <c r="T29" s="155"/>
      <c r="U29" s="155"/>
      <c r="V29" s="151"/>
    </row>
    <row r="30" spans="1:22" s="163" customFormat="1" ht="15.75" customHeight="1" x14ac:dyDescent="0.2">
      <c r="A30" s="160"/>
      <c r="B30" s="161"/>
      <c r="C30" s="161"/>
      <c r="D30" s="161"/>
      <c r="E30" s="161"/>
      <c r="F30" s="161"/>
      <c r="G30" s="161"/>
      <c r="H30" s="161"/>
      <c r="I30" s="161"/>
      <c r="J30" s="162"/>
      <c r="K30" s="161"/>
      <c r="L30" s="161"/>
      <c r="M30" s="162"/>
      <c r="N30" s="161"/>
      <c r="O30" s="161"/>
      <c r="P30" s="162"/>
      <c r="Q30" s="161"/>
      <c r="R30" s="161"/>
      <c r="S30" s="161"/>
      <c r="V30" s="164"/>
    </row>
    <row r="31" spans="1:22" s="163" customFormat="1" ht="15.75" customHeight="1" x14ac:dyDescent="0.25">
      <c r="A31" s="153" t="s">
        <v>377</v>
      </c>
      <c r="B31" s="483">
        <v>0</v>
      </c>
      <c r="C31" s="483">
        <v>0.93200000000000005</v>
      </c>
      <c r="D31" s="483">
        <v>0.95</v>
      </c>
      <c r="E31" s="483">
        <v>0.93799999999999994</v>
      </c>
      <c r="F31" s="483">
        <v>0.91400000000000003</v>
      </c>
      <c r="G31" s="483">
        <v>0.94499999999999995</v>
      </c>
      <c r="H31" s="483">
        <v>0.94399999999999995</v>
      </c>
      <c r="I31" s="483">
        <v>0.94799999999999995</v>
      </c>
      <c r="J31" s="483"/>
      <c r="K31" s="483">
        <v>0.94399999999999995</v>
      </c>
      <c r="L31" s="483">
        <v>0.94499999999999995</v>
      </c>
      <c r="M31" s="483"/>
      <c r="N31" s="483">
        <v>0.93899999999999995</v>
      </c>
      <c r="O31" s="483">
        <v>0.94499999999999995</v>
      </c>
      <c r="P31" s="483"/>
      <c r="Q31" s="483">
        <v>0</v>
      </c>
      <c r="R31" s="483">
        <v>0.93700000000000006</v>
      </c>
      <c r="S31" s="483">
        <v>0.94899999999999995</v>
      </c>
      <c r="T31" s="168"/>
      <c r="U31" s="168"/>
      <c r="V31" s="164"/>
    </row>
    <row r="32" spans="1:22" s="163" customFormat="1" ht="15.75" customHeight="1" x14ac:dyDescent="0.2">
      <c r="A32" s="160"/>
      <c r="B32" s="161"/>
      <c r="C32" s="161"/>
      <c r="D32" s="161"/>
      <c r="E32" s="161"/>
      <c r="F32" s="161"/>
      <c r="G32" s="161"/>
      <c r="H32" s="161"/>
      <c r="I32" s="161"/>
      <c r="J32" s="162"/>
      <c r="K32" s="161"/>
      <c r="L32" s="161"/>
      <c r="M32" s="162"/>
      <c r="N32" s="161"/>
      <c r="O32" s="161"/>
      <c r="P32" s="162"/>
      <c r="Q32" s="161"/>
      <c r="R32" s="161"/>
      <c r="S32" s="161"/>
      <c r="V32" s="164"/>
    </row>
    <row r="33" spans="1:21" ht="15.75" x14ac:dyDescent="0.25">
      <c r="A33" s="144" t="s">
        <v>141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42"/>
      <c r="U33" s="142"/>
    </row>
    <row r="34" spans="1:21" ht="15.75" x14ac:dyDescent="0.25">
      <c r="A34" s="238" t="s">
        <v>220</v>
      </c>
      <c r="B34" s="354">
        <v>0</v>
      </c>
      <c r="C34" s="354">
        <v>0.64800000000000002</v>
      </c>
      <c r="D34" s="354">
        <v>0.61099999999999999</v>
      </c>
      <c r="E34" s="354">
        <v>0.61</v>
      </c>
      <c r="F34" s="354">
        <v>0.628</v>
      </c>
      <c r="G34" s="354">
        <v>0.67800000000000005</v>
      </c>
      <c r="H34" s="354">
        <v>0.621</v>
      </c>
      <c r="I34" s="354">
        <v>0.59499999999999997</v>
      </c>
      <c r="J34" s="123"/>
      <c r="K34" s="354">
        <v>0.61099999999999999</v>
      </c>
      <c r="L34" s="354">
        <v>0.60899999999999999</v>
      </c>
      <c r="M34" s="123"/>
      <c r="N34" s="354">
        <v>0.624</v>
      </c>
      <c r="O34" s="354">
        <v>0.63700000000000001</v>
      </c>
      <c r="P34" s="123"/>
      <c r="Q34" s="354">
        <f>Q37-Q35-Q36</f>
        <v>0</v>
      </c>
      <c r="R34" s="354">
        <f>R37-R35-R36</f>
        <v>0.63500000000000001</v>
      </c>
      <c r="S34" s="354">
        <v>0.63100000000000001</v>
      </c>
      <c r="T34" s="142"/>
      <c r="U34" s="142"/>
    </row>
    <row r="35" spans="1:21" ht="15.75" x14ac:dyDescent="0.25">
      <c r="A35" s="238" t="s">
        <v>378</v>
      </c>
      <c r="B35" s="123">
        <v>0</v>
      </c>
      <c r="C35" s="123">
        <v>-1.2E-2</v>
      </c>
      <c r="D35" s="123">
        <v>-1.0999999999999999E-2</v>
      </c>
      <c r="E35" s="123">
        <v>-8.0000000000000002E-3</v>
      </c>
      <c r="F35" s="123">
        <v>0.01</v>
      </c>
      <c r="G35" s="123">
        <v>-0.01</v>
      </c>
      <c r="H35" s="123">
        <v>1.4E-2</v>
      </c>
      <c r="I35" s="123">
        <v>-4.2000000000000003E-2</v>
      </c>
      <c r="J35" s="123"/>
      <c r="K35" s="123">
        <v>-0.01</v>
      </c>
      <c r="L35" s="123">
        <v>-1.0999999999999999E-2</v>
      </c>
      <c r="M35" s="123"/>
      <c r="N35" s="123">
        <v>-0.01</v>
      </c>
      <c r="O35" s="123">
        <v>-0.01</v>
      </c>
      <c r="P35" s="123"/>
      <c r="Q35" s="123">
        <v>0</v>
      </c>
      <c r="R35" s="123">
        <v>-5.0000000000000001E-3</v>
      </c>
      <c r="S35" s="123">
        <v>-2.4E-2</v>
      </c>
      <c r="T35" s="142"/>
      <c r="U35" s="142"/>
    </row>
    <row r="36" spans="1:21" ht="15.75" x14ac:dyDescent="0.25">
      <c r="A36" s="238" t="s">
        <v>214</v>
      </c>
      <c r="B36" s="129">
        <v>0</v>
      </c>
      <c r="C36" s="129">
        <v>8.9999999999999993E-3</v>
      </c>
      <c r="D36" s="129">
        <v>0.01</v>
      </c>
      <c r="E36" s="129">
        <v>6.0000000000000001E-3</v>
      </c>
      <c r="F36" s="129">
        <v>2E-3</v>
      </c>
      <c r="G36" s="129">
        <v>3.0000000000000001E-3</v>
      </c>
      <c r="H36" s="129">
        <v>1.0999999999999999E-2</v>
      </c>
      <c r="I36" s="129">
        <v>1.6E-2</v>
      </c>
      <c r="J36" s="125"/>
      <c r="K36" s="129">
        <v>8.0000000000000002E-3</v>
      </c>
      <c r="L36" s="129">
        <v>1.2999999999999999E-2</v>
      </c>
      <c r="M36" s="125"/>
      <c r="N36" s="129">
        <v>8.0000000000000002E-3</v>
      </c>
      <c r="O36" s="129">
        <v>8.9999999999999993E-3</v>
      </c>
      <c r="P36" s="125"/>
      <c r="Q36" s="129">
        <v>0</v>
      </c>
      <c r="R36" s="129">
        <v>7.0000000000000001E-3</v>
      </c>
      <c r="S36" s="129">
        <v>0.01</v>
      </c>
      <c r="T36" s="142"/>
      <c r="U36" s="142"/>
    </row>
    <row r="37" spans="1:21" ht="15.75" x14ac:dyDescent="0.25">
      <c r="A37" s="446" t="s">
        <v>174</v>
      </c>
      <c r="B37" s="355">
        <f>B27</f>
        <v>0</v>
      </c>
      <c r="C37" s="355">
        <f>C27</f>
        <v>0.64500000000000002</v>
      </c>
      <c r="D37" s="355">
        <f>D27</f>
        <v>0.61</v>
      </c>
      <c r="E37" s="355">
        <f>E27</f>
        <v>0.60799999999999998</v>
      </c>
      <c r="F37" s="355">
        <f t="shared" ref="F37:I37" si="35">F27</f>
        <v>0.64</v>
      </c>
      <c r="G37" s="355">
        <f t="shared" si="35"/>
        <v>0.67100000000000004</v>
      </c>
      <c r="H37" s="355">
        <f t="shared" si="35"/>
        <v>0.64600000000000002</v>
      </c>
      <c r="I37" s="355">
        <f t="shared" si="35"/>
        <v>0.56899999999999995</v>
      </c>
      <c r="J37" s="126"/>
      <c r="K37" s="355">
        <f>K27</f>
        <v>0.60899999999999999</v>
      </c>
      <c r="L37" s="355">
        <f>L27</f>
        <v>0.61099999999999999</v>
      </c>
      <c r="M37" s="126"/>
      <c r="N37" s="355">
        <f>N27</f>
        <v>0.622</v>
      </c>
      <c r="O37" s="355">
        <f>O27</f>
        <v>0.63600000000000001</v>
      </c>
      <c r="P37" s="126"/>
      <c r="Q37" s="355">
        <f>Q27</f>
        <v>0</v>
      </c>
      <c r="R37" s="355">
        <f>R27</f>
        <v>0.63700000000000001</v>
      </c>
      <c r="S37" s="355">
        <f>S27</f>
        <v>0.61699999999999999</v>
      </c>
      <c r="T37" s="142"/>
      <c r="U37" s="142"/>
    </row>
    <row r="38" spans="1:21" ht="15.75" x14ac:dyDescent="0.25">
      <c r="A38" s="144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42"/>
      <c r="U38" s="142"/>
    </row>
  </sheetData>
  <sheetProtection password="CBFD" sheet="1" objects="1" scenarios="1"/>
  <phoneticPr fontId="0" type="noConversion"/>
  <pageMargins left="0.7" right="0.7" top="0.75" bottom="0.25" header="0.3" footer="0.05"/>
  <pageSetup scale="75" orientation="landscape" r:id="rId1"/>
  <headerFooter>
    <oddHeader>&amp;R&amp;G</oddHeader>
    <oddFooter>&amp;C7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9"/>
  <dimension ref="A1:V37"/>
  <sheetViews>
    <sheetView zoomScale="85" zoomScaleNormal="85" workbookViewId="0"/>
  </sheetViews>
  <sheetFormatPr defaultColWidth="9.77734375" defaultRowHeight="15.75" customHeight="1" x14ac:dyDescent="0.2"/>
  <cols>
    <col min="1" max="1" width="55.77734375" style="179" customWidth="1"/>
    <col min="2" max="2" width="10.77734375" style="18" hidden="1" customWidth="1"/>
    <col min="3" max="7" width="10.77734375" style="18" customWidth="1"/>
    <col min="8" max="9" width="10.77734375" style="18" hidden="1" customWidth="1"/>
    <col min="10" max="10" width="1.77734375" style="18" customWidth="1"/>
    <col min="11" max="12" width="10.77734375" style="18" hidden="1" customWidth="1"/>
    <col min="13" max="13" width="1.77734375" style="18" hidden="1" customWidth="1"/>
    <col min="14" max="15" width="10.77734375" style="18" customWidth="1"/>
    <col min="16" max="16" width="1.77734375" style="18" hidden="1" customWidth="1"/>
    <col min="17" max="19" width="10.77734375" style="18" hidden="1" customWidth="1"/>
    <col min="20" max="16384" width="9.77734375" style="19"/>
  </cols>
  <sheetData>
    <row r="1" spans="1:22" s="172" customFormat="1" ht="18" x14ac:dyDescent="0.25">
      <c r="A1" s="131" t="str">
        <f>'Cover Page'!$H$10</f>
        <v>American Financial Group, Inc.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22" s="172" customFormat="1" ht="18" x14ac:dyDescent="0.25">
      <c r="A2" s="173" t="s">
        <v>156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22" s="172" customFormat="1" ht="18" x14ac:dyDescent="0.25">
      <c r="A3" s="16" t="s">
        <v>14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22" s="179" customFormat="1" x14ac:dyDescent="0.25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6"/>
      <c r="L4" s="177"/>
      <c r="M4" s="176"/>
      <c r="N4" s="176"/>
      <c r="O4" s="177"/>
      <c r="P4" s="176"/>
      <c r="Q4" s="176"/>
      <c r="R4" s="178"/>
      <c r="S4" s="178"/>
    </row>
    <row r="5" spans="1:22" s="179" customFormat="1" x14ac:dyDescent="0.25">
      <c r="A5" s="20"/>
      <c r="B5" s="145" t="s">
        <v>2</v>
      </c>
      <c r="C5" s="145" t="s">
        <v>2</v>
      </c>
      <c r="D5" s="145"/>
      <c r="E5" s="145"/>
      <c r="F5" s="146"/>
      <c r="G5" s="146"/>
      <c r="H5" s="146"/>
      <c r="I5" s="146"/>
      <c r="J5" s="17"/>
      <c r="K5" s="145" t="s">
        <v>6</v>
      </c>
      <c r="L5" s="146"/>
      <c r="M5" s="180"/>
      <c r="N5" s="145" t="s">
        <v>7</v>
      </c>
      <c r="O5" s="146"/>
      <c r="Q5" s="145" t="s">
        <v>3</v>
      </c>
      <c r="R5" s="145" t="s">
        <v>3</v>
      </c>
      <c r="S5" s="146"/>
    </row>
    <row r="6" spans="1:22" s="143" customFormat="1" ht="20.25" x14ac:dyDescent="0.55000000000000004">
      <c r="A6" s="150"/>
      <c r="B6" s="69" t="s">
        <v>384</v>
      </c>
      <c r="C6" s="69" t="s">
        <v>385</v>
      </c>
      <c r="D6" s="69" t="s">
        <v>386</v>
      </c>
      <c r="E6" s="69" t="s">
        <v>387</v>
      </c>
      <c r="F6" s="69" t="s">
        <v>322</v>
      </c>
      <c r="G6" s="69" t="s">
        <v>323</v>
      </c>
      <c r="H6" s="69" t="s">
        <v>324</v>
      </c>
      <c r="I6" s="69" t="s">
        <v>325</v>
      </c>
      <c r="J6" s="84"/>
      <c r="K6" s="84" t="s">
        <v>386</v>
      </c>
      <c r="L6" s="84" t="s">
        <v>324</v>
      </c>
      <c r="M6" s="84"/>
      <c r="N6" s="84" t="s">
        <v>385</v>
      </c>
      <c r="O6" s="84" t="s">
        <v>323</v>
      </c>
      <c r="P6" s="84"/>
      <c r="Q6" s="84" t="s">
        <v>384</v>
      </c>
      <c r="R6" s="84" t="s">
        <v>322</v>
      </c>
      <c r="S6" s="84" t="s">
        <v>117</v>
      </c>
      <c r="T6" s="142"/>
      <c r="U6" s="142"/>
      <c r="V6" s="96"/>
    </row>
    <row r="7" spans="1:22" s="179" customFormat="1" x14ac:dyDescent="0.25">
      <c r="A7" s="15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21"/>
      <c r="N7" s="87"/>
      <c r="O7" s="87"/>
      <c r="P7" s="21"/>
      <c r="Q7" s="87"/>
      <c r="R7" s="87"/>
      <c r="S7" s="87"/>
    </row>
    <row r="8" spans="1:22" ht="15" x14ac:dyDescent="0.2">
      <c r="A8" s="16" t="s">
        <v>215</v>
      </c>
      <c r="B8" s="22">
        <f>Q8-N8</f>
        <v>-1940</v>
      </c>
      <c r="C8" s="22">
        <f>N8-K8</f>
        <v>1064</v>
      </c>
      <c r="D8" s="22">
        <f>K8-E8</f>
        <v>500</v>
      </c>
      <c r="E8" s="22">
        <v>376</v>
      </c>
      <c r="F8" s="22">
        <f>R8-O8</f>
        <v>482</v>
      </c>
      <c r="G8" s="22">
        <f>O8-L8</f>
        <v>995</v>
      </c>
      <c r="H8" s="22">
        <f>L8-I8</f>
        <v>489</v>
      </c>
      <c r="I8" s="22">
        <v>376</v>
      </c>
      <c r="J8" s="22"/>
      <c r="K8" s="22">
        <v>876</v>
      </c>
      <c r="L8" s="22">
        <v>865</v>
      </c>
      <c r="M8" s="23"/>
      <c r="N8" s="22">
        <v>1940</v>
      </c>
      <c r="O8" s="22">
        <v>1860</v>
      </c>
      <c r="P8" s="23"/>
      <c r="Q8" s="22">
        <v>0</v>
      </c>
      <c r="R8" s="22">
        <v>2342</v>
      </c>
      <c r="S8" s="22">
        <v>2392</v>
      </c>
    </row>
    <row r="9" spans="1:22" ht="17.25" x14ac:dyDescent="0.35">
      <c r="A9" s="16" t="s">
        <v>216</v>
      </c>
      <c r="B9" s="85">
        <f t="shared" ref="B9:H9" si="0">B10-B8</f>
        <v>682</v>
      </c>
      <c r="C9" s="85">
        <f t="shared" si="0"/>
        <v>-456</v>
      </c>
      <c r="D9" s="85">
        <f t="shared" si="0"/>
        <v>-138</v>
      </c>
      <c r="E9" s="85">
        <f t="shared" si="0"/>
        <v>-88</v>
      </c>
      <c r="F9" s="85">
        <f t="shared" si="0"/>
        <v>-109</v>
      </c>
      <c r="G9" s="85">
        <f t="shared" si="0"/>
        <v>-439</v>
      </c>
      <c r="H9" s="85">
        <f t="shared" si="0"/>
        <v>-136</v>
      </c>
      <c r="I9" s="85">
        <f t="shared" ref="I9" si="1">I10-I8</f>
        <v>-92</v>
      </c>
      <c r="J9" s="17"/>
      <c r="K9" s="85">
        <f t="shared" ref="K9" si="2">K10-K8</f>
        <v>-226</v>
      </c>
      <c r="L9" s="85">
        <f t="shared" ref="L9" si="3">L10-L8</f>
        <v>-228</v>
      </c>
      <c r="M9" s="86"/>
      <c r="N9" s="85">
        <f t="shared" ref="N9" si="4">N10-N8</f>
        <v>-682</v>
      </c>
      <c r="O9" s="85">
        <f t="shared" ref="O9" si="5">O10-O8</f>
        <v>-667</v>
      </c>
      <c r="P9" s="86"/>
      <c r="Q9" s="85">
        <f t="shared" ref="Q9" si="6">Q10-Q8</f>
        <v>0</v>
      </c>
      <c r="R9" s="85">
        <f t="shared" ref="R9:S9" si="7">R10-R8</f>
        <v>-776</v>
      </c>
      <c r="S9" s="85">
        <f t="shared" si="7"/>
        <v>-845</v>
      </c>
    </row>
    <row r="10" spans="1:22" ht="15" x14ac:dyDescent="0.2">
      <c r="A10" s="16" t="s">
        <v>217</v>
      </c>
      <c r="B10" s="17">
        <f>Q10-N10</f>
        <v>-1258</v>
      </c>
      <c r="C10" s="17">
        <f>N10-K10</f>
        <v>608</v>
      </c>
      <c r="D10" s="17">
        <f>K10-E10</f>
        <v>362</v>
      </c>
      <c r="E10" s="17">
        <v>288</v>
      </c>
      <c r="F10" s="17">
        <f>R10-O10</f>
        <v>373</v>
      </c>
      <c r="G10" s="17">
        <f>O10-L10</f>
        <v>556</v>
      </c>
      <c r="H10" s="17">
        <f>L10-I10</f>
        <v>353</v>
      </c>
      <c r="I10" s="17">
        <v>284</v>
      </c>
      <c r="J10" s="17"/>
      <c r="K10" s="17">
        <v>650</v>
      </c>
      <c r="L10" s="17">
        <v>637</v>
      </c>
      <c r="N10" s="17">
        <v>1258</v>
      </c>
      <c r="O10" s="17">
        <v>1193</v>
      </c>
      <c r="Q10" s="17">
        <v>0</v>
      </c>
      <c r="R10" s="17">
        <v>1566</v>
      </c>
      <c r="S10" s="17">
        <v>1547</v>
      </c>
    </row>
    <row r="11" spans="1:22" ht="17.25" x14ac:dyDescent="0.35">
      <c r="A11" s="16" t="s">
        <v>48</v>
      </c>
      <c r="B11" s="85">
        <f t="shared" ref="B11:H11" si="8">B12-B10</f>
        <v>101</v>
      </c>
      <c r="C11" s="85">
        <f t="shared" si="8"/>
        <v>-91</v>
      </c>
      <c r="D11" s="85">
        <f t="shared" si="8"/>
        <v>-35</v>
      </c>
      <c r="E11" s="85">
        <f t="shared" si="8"/>
        <v>25</v>
      </c>
      <c r="F11" s="85">
        <f t="shared" si="8"/>
        <v>42</v>
      </c>
      <c r="G11" s="85">
        <f t="shared" si="8"/>
        <v>-52</v>
      </c>
      <c r="H11" s="85">
        <f t="shared" si="8"/>
        <v>-29</v>
      </c>
      <c r="I11" s="85">
        <f t="shared" ref="I11" si="9">I12-I10</f>
        <v>17</v>
      </c>
      <c r="J11" s="17"/>
      <c r="K11" s="85">
        <f t="shared" ref="K11" si="10">K12-K10</f>
        <v>-10</v>
      </c>
      <c r="L11" s="85">
        <f t="shared" ref="L11" si="11">L12-L10</f>
        <v>-12</v>
      </c>
      <c r="N11" s="85">
        <f t="shared" ref="N11" si="12">N12-N10</f>
        <v>-101</v>
      </c>
      <c r="O11" s="85">
        <f t="shared" ref="O11" si="13">O12-O10</f>
        <v>-64</v>
      </c>
      <c r="Q11" s="85">
        <f t="shared" ref="Q11" si="14">Q12-Q10</f>
        <v>0</v>
      </c>
      <c r="R11" s="85">
        <f t="shared" ref="R11:S11" si="15">R12-R10</f>
        <v>-22</v>
      </c>
      <c r="S11" s="85">
        <f t="shared" si="15"/>
        <v>-26</v>
      </c>
    </row>
    <row r="12" spans="1:22" x14ac:dyDescent="0.25">
      <c r="A12" s="20" t="s">
        <v>218</v>
      </c>
      <c r="B12" s="17">
        <f>Q12-N12</f>
        <v>-1157</v>
      </c>
      <c r="C12" s="17">
        <f>N12-K12</f>
        <v>517</v>
      </c>
      <c r="D12" s="17">
        <f>K12-E12</f>
        <v>327</v>
      </c>
      <c r="E12" s="17">
        <v>313</v>
      </c>
      <c r="F12" s="17">
        <f>R12-O12</f>
        <v>415</v>
      </c>
      <c r="G12" s="17">
        <f>O12-L12</f>
        <v>504</v>
      </c>
      <c r="H12" s="17">
        <f>L12-I12</f>
        <v>324</v>
      </c>
      <c r="I12" s="17">
        <v>301</v>
      </c>
      <c r="J12" s="17"/>
      <c r="K12" s="17">
        <v>640</v>
      </c>
      <c r="L12" s="17">
        <v>625</v>
      </c>
      <c r="M12" s="21"/>
      <c r="N12" s="17">
        <v>1157</v>
      </c>
      <c r="O12" s="17">
        <v>1129</v>
      </c>
      <c r="P12" s="21"/>
      <c r="Q12" s="17">
        <v>0</v>
      </c>
      <c r="R12" s="17">
        <v>1544</v>
      </c>
      <c r="S12" s="17">
        <v>1521</v>
      </c>
    </row>
    <row r="13" spans="1:22" x14ac:dyDescent="0.25">
      <c r="A13" s="20"/>
      <c r="B13" s="87"/>
      <c r="C13" s="87"/>
      <c r="D13" s="87"/>
      <c r="E13" s="87"/>
      <c r="F13" s="87"/>
      <c r="G13" s="87"/>
      <c r="H13" s="87"/>
      <c r="I13" s="87"/>
      <c r="J13" s="17"/>
      <c r="K13" s="87"/>
      <c r="L13" s="87"/>
      <c r="N13" s="87"/>
      <c r="O13" s="87"/>
      <c r="Q13" s="87"/>
      <c r="R13" s="87"/>
      <c r="S13" s="87"/>
    </row>
    <row r="14" spans="1:22" ht="15" x14ac:dyDescent="0.2">
      <c r="A14" s="20" t="s">
        <v>154</v>
      </c>
      <c r="B14" s="18">
        <f>Q14-N14</f>
        <v>-842</v>
      </c>
      <c r="C14" s="18">
        <f>N14-K14</f>
        <v>391</v>
      </c>
      <c r="D14" s="18">
        <f>K14-E14</f>
        <v>240</v>
      </c>
      <c r="E14" s="18">
        <v>211</v>
      </c>
      <c r="F14" s="18">
        <f>R14-O14</f>
        <v>299</v>
      </c>
      <c r="G14" s="18">
        <f>O14-L14</f>
        <v>407</v>
      </c>
      <c r="H14" s="18">
        <f>L14-I14</f>
        <v>248</v>
      </c>
      <c r="I14" s="18">
        <v>201</v>
      </c>
      <c r="J14" s="17"/>
      <c r="K14" s="18">
        <v>451</v>
      </c>
      <c r="L14" s="18">
        <v>449</v>
      </c>
      <c r="N14" s="18">
        <v>842</v>
      </c>
      <c r="O14" s="18">
        <v>856</v>
      </c>
      <c r="Q14" s="18">
        <v>0</v>
      </c>
      <c r="R14" s="18">
        <v>1155</v>
      </c>
      <c r="S14" s="18">
        <v>1142</v>
      </c>
    </row>
    <row r="15" spans="1:22" ht="17.25" x14ac:dyDescent="0.35">
      <c r="A15" s="20" t="s">
        <v>299</v>
      </c>
      <c r="B15" s="88">
        <f>Q15-N15</f>
        <v>-301</v>
      </c>
      <c r="C15" s="88">
        <f>N15-K15</f>
        <v>106</v>
      </c>
      <c r="D15" s="88">
        <f>K15-E15</f>
        <v>100</v>
      </c>
      <c r="E15" s="88">
        <v>95</v>
      </c>
      <c r="F15" s="88">
        <f>R15-O15</f>
        <v>94</v>
      </c>
      <c r="G15" s="88">
        <f>O15-L15</f>
        <v>86</v>
      </c>
      <c r="H15" s="88">
        <f>L15-I15</f>
        <v>94</v>
      </c>
      <c r="I15" s="88">
        <v>94</v>
      </c>
      <c r="J15" s="85"/>
      <c r="K15" s="88">
        <v>195</v>
      </c>
      <c r="L15" s="88">
        <v>188</v>
      </c>
      <c r="M15" s="88"/>
      <c r="N15" s="88">
        <v>301</v>
      </c>
      <c r="O15" s="88">
        <v>274</v>
      </c>
      <c r="P15" s="88"/>
      <c r="Q15" s="88">
        <v>0</v>
      </c>
      <c r="R15" s="88">
        <v>368</v>
      </c>
      <c r="S15" s="88">
        <v>367</v>
      </c>
    </row>
    <row r="16" spans="1:22" s="182" customFormat="1" ht="18" x14ac:dyDescent="0.4">
      <c r="A16" s="181" t="s">
        <v>75</v>
      </c>
      <c r="B16" s="89">
        <f t="shared" ref="B16:H16" si="16">B12-SUM(B14:B15)</f>
        <v>-14</v>
      </c>
      <c r="C16" s="89">
        <f t="shared" si="16"/>
        <v>20</v>
      </c>
      <c r="D16" s="89">
        <f t="shared" si="16"/>
        <v>-13</v>
      </c>
      <c r="E16" s="89">
        <f t="shared" si="16"/>
        <v>7</v>
      </c>
      <c r="F16" s="89">
        <f t="shared" si="16"/>
        <v>22</v>
      </c>
      <c r="G16" s="89">
        <f t="shared" si="16"/>
        <v>11</v>
      </c>
      <c r="H16" s="89">
        <f t="shared" si="16"/>
        <v>-18</v>
      </c>
      <c r="I16" s="89">
        <f t="shared" ref="I16" si="17">I12-SUM(I14:I15)</f>
        <v>6</v>
      </c>
      <c r="J16" s="90"/>
      <c r="K16" s="89">
        <f t="shared" ref="K16" si="18">K12-SUM(K14:K15)</f>
        <v>-6</v>
      </c>
      <c r="L16" s="89">
        <f t="shared" ref="L16" si="19">L12-SUM(L14:L15)</f>
        <v>-12</v>
      </c>
      <c r="M16" s="91"/>
      <c r="N16" s="89">
        <f t="shared" ref="N16" si="20">N12-SUM(N14:N15)</f>
        <v>14</v>
      </c>
      <c r="O16" s="89">
        <f t="shared" ref="O16" si="21">O12-SUM(O14:O15)</f>
        <v>-1</v>
      </c>
      <c r="P16" s="91"/>
      <c r="Q16" s="89">
        <f t="shared" ref="Q16" si="22">Q12-SUM(Q14:Q15)</f>
        <v>0</v>
      </c>
      <c r="R16" s="89">
        <f t="shared" ref="R16:S16" si="23">R12-SUM(R14:R15)</f>
        <v>21</v>
      </c>
      <c r="S16" s="89">
        <f t="shared" si="23"/>
        <v>12</v>
      </c>
    </row>
    <row r="17" spans="1:20" x14ac:dyDescent="0.25">
      <c r="A17" s="20"/>
      <c r="B17" s="21"/>
      <c r="C17" s="21"/>
      <c r="D17" s="21"/>
      <c r="E17" s="21"/>
      <c r="F17" s="21"/>
      <c r="G17" s="21"/>
      <c r="H17" s="21"/>
      <c r="I17" s="21"/>
      <c r="J17" s="17"/>
      <c r="K17" s="21"/>
      <c r="L17" s="21"/>
      <c r="M17" s="21"/>
      <c r="N17" s="21"/>
      <c r="O17" s="21"/>
      <c r="P17" s="21"/>
      <c r="Q17" s="21"/>
      <c r="R17" s="21"/>
      <c r="S17" s="21"/>
    </row>
    <row r="18" spans="1:20" x14ac:dyDescent="0.25">
      <c r="A18" s="20" t="s">
        <v>219</v>
      </c>
      <c r="B18" s="21"/>
      <c r="C18" s="21"/>
      <c r="D18" s="21"/>
      <c r="E18" s="21"/>
      <c r="F18" s="21"/>
      <c r="G18" s="21"/>
      <c r="H18" s="21"/>
      <c r="I18" s="21"/>
      <c r="J18" s="17"/>
      <c r="K18" s="21"/>
      <c r="L18" s="21"/>
      <c r="M18" s="21"/>
      <c r="N18" s="21"/>
      <c r="O18" s="21"/>
      <c r="P18" s="21"/>
      <c r="Q18" s="21"/>
      <c r="R18" s="21"/>
      <c r="S18" s="21"/>
    </row>
    <row r="19" spans="1:20" x14ac:dyDescent="0.25">
      <c r="A19" s="415" t="s">
        <v>210</v>
      </c>
      <c r="B19" s="21"/>
      <c r="C19" s="21"/>
      <c r="D19" s="21"/>
      <c r="E19" s="21"/>
      <c r="F19" s="21"/>
      <c r="G19" s="21"/>
      <c r="H19" s="21"/>
      <c r="I19" s="21"/>
      <c r="J19" s="17"/>
      <c r="K19" s="21"/>
      <c r="L19" s="21"/>
      <c r="M19" s="21"/>
      <c r="N19" s="21"/>
      <c r="O19" s="21"/>
      <c r="P19" s="21"/>
      <c r="Q19" s="21"/>
      <c r="R19" s="21"/>
      <c r="S19" s="21"/>
    </row>
    <row r="20" spans="1:20" ht="15" x14ac:dyDescent="0.2">
      <c r="A20" s="457" t="s">
        <v>211</v>
      </c>
      <c r="B20" s="46">
        <f>Q20-N20</f>
        <v>0</v>
      </c>
      <c r="C20" s="46">
        <f>N20-K20</f>
        <v>0</v>
      </c>
      <c r="D20" s="46">
        <f>K20-E20</f>
        <v>0</v>
      </c>
      <c r="E20" s="46">
        <v>0</v>
      </c>
      <c r="F20" s="46">
        <f>R20-O20</f>
        <v>0</v>
      </c>
      <c r="G20" s="46">
        <f>O20-L20</f>
        <v>0</v>
      </c>
      <c r="H20" s="46">
        <f>L20-I20</f>
        <v>0</v>
      </c>
      <c r="I20" s="46">
        <v>0</v>
      </c>
      <c r="J20" s="22"/>
      <c r="K20" s="46">
        <v>0</v>
      </c>
      <c r="L20" s="46">
        <v>0</v>
      </c>
      <c r="M20" s="46"/>
      <c r="N20" s="46">
        <v>0</v>
      </c>
      <c r="O20" s="46">
        <v>0</v>
      </c>
      <c r="P20" s="46"/>
      <c r="Q20" s="46">
        <v>0</v>
      </c>
      <c r="R20" s="46">
        <v>0</v>
      </c>
      <c r="S20" s="46">
        <v>0</v>
      </c>
    </row>
    <row r="21" spans="1:20" ht="17.25" x14ac:dyDescent="0.35">
      <c r="A21" s="457" t="s">
        <v>212</v>
      </c>
      <c r="B21" s="88">
        <f>B22-B20</f>
        <v>-18</v>
      </c>
      <c r="C21" s="88">
        <f t="shared" ref="C21:H21" si="24">C22-C20</f>
        <v>7</v>
      </c>
      <c r="D21" s="88">
        <f t="shared" si="24"/>
        <v>7</v>
      </c>
      <c r="E21" s="88">
        <f>E22-E20</f>
        <v>4</v>
      </c>
      <c r="F21" s="88">
        <f t="shared" si="24"/>
        <v>2</v>
      </c>
      <c r="G21" s="88">
        <f t="shared" si="24"/>
        <v>1</v>
      </c>
      <c r="H21" s="88">
        <f t="shared" si="24"/>
        <v>8</v>
      </c>
      <c r="I21" s="88">
        <f>I22-I20</f>
        <v>9</v>
      </c>
      <c r="J21" s="85"/>
      <c r="K21" s="88">
        <f t="shared" ref="K21" si="25">K22-K20</f>
        <v>11</v>
      </c>
      <c r="L21" s="88">
        <f t="shared" ref="L21" si="26">L22-L20</f>
        <v>17</v>
      </c>
      <c r="M21" s="88"/>
      <c r="N21" s="88">
        <f t="shared" ref="N21" si="27">N22-N20</f>
        <v>18</v>
      </c>
      <c r="O21" s="88">
        <f t="shared" ref="O21" si="28">O22-O20</f>
        <v>18</v>
      </c>
      <c r="P21" s="88"/>
      <c r="Q21" s="88">
        <f t="shared" ref="Q21" si="29">Q22-Q20</f>
        <v>0</v>
      </c>
      <c r="R21" s="88">
        <f t="shared" ref="R21:S21" si="30">R22-R20</f>
        <v>20</v>
      </c>
      <c r="S21" s="88">
        <f t="shared" si="30"/>
        <v>27</v>
      </c>
    </row>
    <row r="22" spans="1:20" ht="17.25" x14ac:dyDescent="0.35">
      <c r="A22" s="457" t="s">
        <v>139</v>
      </c>
      <c r="B22" s="382">
        <f>Q22-N22</f>
        <v>-18</v>
      </c>
      <c r="C22" s="382">
        <f>N22-K22</f>
        <v>7</v>
      </c>
      <c r="D22" s="382">
        <f>K22-E22</f>
        <v>7</v>
      </c>
      <c r="E22" s="382">
        <v>4</v>
      </c>
      <c r="F22" s="382">
        <f>R22-O22</f>
        <v>2</v>
      </c>
      <c r="G22" s="382">
        <f>O22-L22</f>
        <v>1</v>
      </c>
      <c r="H22" s="382">
        <f>L22-I22</f>
        <v>8</v>
      </c>
      <c r="I22" s="382">
        <v>9</v>
      </c>
      <c r="J22" s="383"/>
      <c r="K22" s="382">
        <v>11</v>
      </c>
      <c r="L22" s="382">
        <v>17</v>
      </c>
      <c r="M22" s="382"/>
      <c r="N22" s="382">
        <v>18</v>
      </c>
      <c r="O22" s="382">
        <v>18</v>
      </c>
      <c r="P22" s="382"/>
      <c r="Q22" s="382">
        <v>0</v>
      </c>
      <c r="R22" s="382">
        <v>20</v>
      </c>
      <c r="S22" s="382">
        <v>27</v>
      </c>
    </row>
    <row r="23" spans="1:20" x14ac:dyDescent="0.25">
      <c r="A23" s="418"/>
      <c r="B23" s="46"/>
      <c r="C23" s="46"/>
      <c r="D23" s="46"/>
      <c r="E23" s="46"/>
      <c r="F23" s="46"/>
      <c r="G23" s="46"/>
      <c r="H23" s="46"/>
      <c r="I23" s="46"/>
      <c r="J23" s="22"/>
      <c r="K23" s="46"/>
      <c r="L23" s="46"/>
      <c r="M23" s="46"/>
      <c r="N23" s="46"/>
      <c r="O23" s="46"/>
      <c r="P23" s="46"/>
      <c r="Q23" s="46"/>
      <c r="R23" s="46"/>
      <c r="S23" s="46"/>
    </row>
    <row r="24" spans="1:20" s="179" customFormat="1" ht="17.25" x14ac:dyDescent="0.35">
      <c r="A24" s="415" t="s">
        <v>376</v>
      </c>
      <c r="B24" s="382">
        <f>Q24-N24</f>
        <v>-7</v>
      </c>
      <c r="C24" s="382">
        <f>N24-K24</f>
        <v>-2</v>
      </c>
      <c r="D24" s="382">
        <f>K24-E24</f>
        <v>6</v>
      </c>
      <c r="E24" s="382">
        <v>3</v>
      </c>
      <c r="F24" s="382">
        <f>R24-O24</f>
        <v>3</v>
      </c>
      <c r="G24" s="382">
        <f>O24-L24</f>
        <v>-5</v>
      </c>
      <c r="H24" s="382">
        <f>L24-I24</f>
        <v>22</v>
      </c>
      <c r="I24" s="382">
        <v>-4</v>
      </c>
      <c r="J24" s="383"/>
      <c r="K24" s="382">
        <v>9</v>
      </c>
      <c r="L24" s="382">
        <v>18</v>
      </c>
      <c r="M24" s="382"/>
      <c r="N24" s="382">
        <v>7</v>
      </c>
      <c r="O24" s="382">
        <v>13</v>
      </c>
      <c r="P24" s="382"/>
      <c r="Q24" s="382">
        <v>0</v>
      </c>
      <c r="R24" s="382">
        <v>16</v>
      </c>
      <c r="S24" s="382">
        <v>-1</v>
      </c>
    </row>
    <row r="25" spans="1:20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17"/>
      <c r="K25" s="21"/>
      <c r="L25" s="21"/>
      <c r="M25" s="21"/>
      <c r="N25" s="21"/>
      <c r="O25" s="21"/>
      <c r="P25" s="21"/>
      <c r="Q25" s="21"/>
      <c r="R25" s="21"/>
      <c r="S25" s="21"/>
    </row>
    <row r="26" spans="1:20" x14ac:dyDescent="0.25">
      <c r="A26" s="144" t="s">
        <v>213</v>
      </c>
      <c r="B26" s="87"/>
      <c r="C26" s="87"/>
      <c r="D26" s="87"/>
      <c r="E26" s="87"/>
      <c r="F26" s="87"/>
      <c r="G26" s="87"/>
      <c r="H26" s="87"/>
      <c r="I26" s="87"/>
      <c r="J26" s="17"/>
      <c r="K26" s="87"/>
      <c r="L26" s="87"/>
      <c r="N26" s="87"/>
      <c r="O26" s="87"/>
      <c r="Q26" s="87"/>
      <c r="R26" s="87"/>
      <c r="S26" s="87"/>
    </row>
    <row r="27" spans="1:20" ht="15" x14ac:dyDescent="0.2">
      <c r="A27" s="419" t="s">
        <v>174</v>
      </c>
      <c r="B27" s="186">
        <v>0</v>
      </c>
      <c r="C27" s="186">
        <v>0.75700000000000001</v>
      </c>
      <c r="D27" s="186">
        <v>0.73199999999999998</v>
      </c>
      <c r="E27" s="186">
        <v>0.67500000000000004</v>
      </c>
      <c r="F27" s="186">
        <v>0.72199999999999998</v>
      </c>
      <c r="G27" s="186">
        <v>0.80700000000000005</v>
      </c>
      <c r="H27" s="186">
        <v>0.76400000000000001</v>
      </c>
      <c r="I27" s="186">
        <v>0.67</v>
      </c>
      <c r="J27" s="186"/>
      <c r="K27" s="186">
        <v>0.70499999999999996</v>
      </c>
      <c r="L27" s="186">
        <v>0.71899999999999997</v>
      </c>
      <c r="M27" s="187"/>
      <c r="N27" s="186">
        <v>0.72699999999999998</v>
      </c>
      <c r="O27" s="186">
        <v>0.75800000000000001</v>
      </c>
      <c r="P27" s="187"/>
      <c r="Q27" s="186">
        <v>0</v>
      </c>
      <c r="R27" s="186">
        <v>0.749</v>
      </c>
      <c r="S27" s="186">
        <v>0.751</v>
      </c>
    </row>
    <row r="28" spans="1:20" ht="15" x14ac:dyDescent="0.2">
      <c r="A28" s="419" t="s">
        <v>300</v>
      </c>
      <c r="B28" s="188">
        <v>0</v>
      </c>
      <c r="C28" s="188">
        <v>0.20499999999999999</v>
      </c>
      <c r="D28" s="188">
        <v>0.308</v>
      </c>
      <c r="E28" s="188">
        <v>0.30199999999999999</v>
      </c>
      <c r="F28" s="188">
        <v>0.224</v>
      </c>
      <c r="G28" s="188">
        <v>0.17100000000000001</v>
      </c>
      <c r="H28" s="188">
        <v>0.29099999999999998</v>
      </c>
      <c r="I28" s="188">
        <v>0.311</v>
      </c>
      <c r="J28" s="188"/>
      <c r="K28" s="188">
        <v>0.30499999999999999</v>
      </c>
      <c r="L28" s="188">
        <v>0.30099999999999999</v>
      </c>
      <c r="M28" s="190"/>
      <c r="N28" s="188">
        <v>0.26</v>
      </c>
      <c r="O28" s="188">
        <v>0.24299999999999999</v>
      </c>
      <c r="P28" s="190"/>
      <c r="Q28" s="188">
        <v>0</v>
      </c>
      <c r="R28" s="188">
        <v>0.23799999999999999</v>
      </c>
      <c r="S28" s="188">
        <v>0.24099999999999999</v>
      </c>
    </row>
    <row r="29" spans="1:20" s="182" customFormat="1" x14ac:dyDescent="0.25">
      <c r="A29" s="183" t="s">
        <v>76</v>
      </c>
      <c r="B29" s="189">
        <f t="shared" ref="B29:I29" si="31">SUM(B27:B28)</f>
        <v>0</v>
      </c>
      <c r="C29" s="189">
        <f t="shared" si="31"/>
        <v>0.96199999999999997</v>
      </c>
      <c r="D29" s="189">
        <f t="shared" si="31"/>
        <v>1.04</v>
      </c>
      <c r="E29" s="189">
        <f t="shared" si="31"/>
        <v>0.97700000000000009</v>
      </c>
      <c r="F29" s="189">
        <f t="shared" si="31"/>
        <v>0.94599999999999995</v>
      </c>
      <c r="G29" s="189">
        <f t="shared" si="31"/>
        <v>0.97800000000000009</v>
      </c>
      <c r="H29" s="189">
        <f t="shared" si="31"/>
        <v>1.0549999999999999</v>
      </c>
      <c r="I29" s="189">
        <f t="shared" si="31"/>
        <v>0.98100000000000009</v>
      </c>
      <c r="J29" s="191"/>
      <c r="K29" s="189">
        <f t="shared" ref="K29" si="32">SUM(K27:K28)</f>
        <v>1.01</v>
      </c>
      <c r="L29" s="189">
        <f t="shared" ref="L29" si="33">SUM(L27:L28)</f>
        <v>1.02</v>
      </c>
      <c r="M29" s="189"/>
      <c r="N29" s="189">
        <f t="shared" ref="N29" si="34">SUM(N27:N28)</f>
        <v>0.98699999999999999</v>
      </c>
      <c r="O29" s="189">
        <f t="shared" ref="O29" si="35">SUM(O27:O28)</f>
        <v>1.0009999999999999</v>
      </c>
      <c r="P29" s="189"/>
      <c r="Q29" s="189">
        <f t="shared" ref="Q29" si="36">SUM(Q27:Q28)</f>
        <v>0</v>
      </c>
      <c r="R29" s="189">
        <f t="shared" ref="R29:S29" si="37">SUM(R27:R28)</f>
        <v>0.98699999999999999</v>
      </c>
      <c r="S29" s="189">
        <f t="shared" si="37"/>
        <v>0.99199999999999999</v>
      </c>
    </row>
    <row r="31" spans="1:20" ht="15.75" customHeight="1" x14ac:dyDescent="0.25">
      <c r="A31" s="153" t="s">
        <v>377</v>
      </c>
      <c r="B31" s="483">
        <v>0</v>
      </c>
      <c r="C31" s="483">
        <v>0.95099999999999996</v>
      </c>
      <c r="D31" s="483">
        <v>1.002</v>
      </c>
      <c r="E31" s="483">
        <v>0.95399999999999996</v>
      </c>
      <c r="F31" s="483">
        <v>0.93700000000000006</v>
      </c>
      <c r="G31" s="483">
        <v>0.98499999999999999</v>
      </c>
      <c r="H31" s="483">
        <v>0.96199999999999997</v>
      </c>
      <c r="I31" s="483">
        <v>0.96399999999999997</v>
      </c>
      <c r="J31" s="483"/>
      <c r="K31" s="483">
        <v>0.97899999999999998</v>
      </c>
      <c r="L31" s="483">
        <v>0.96399999999999997</v>
      </c>
      <c r="M31" s="483"/>
      <c r="N31" s="483">
        <v>0.96599999999999997</v>
      </c>
      <c r="O31" s="483">
        <v>0.97299999999999998</v>
      </c>
      <c r="P31" s="483"/>
      <c r="Q31" s="483">
        <v>0</v>
      </c>
      <c r="R31" s="483">
        <v>0.96399999999999997</v>
      </c>
      <c r="S31" s="483">
        <v>0.97499999999999998</v>
      </c>
      <c r="T31" s="168"/>
    </row>
    <row r="33" spans="1:19" ht="15.75" customHeight="1" x14ac:dyDescent="0.2">
      <c r="A33" s="144" t="s">
        <v>141</v>
      </c>
    </row>
    <row r="34" spans="1:19" ht="15.75" customHeight="1" x14ac:dyDescent="0.2">
      <c r="A34" s="445" t="s">
        <v>220</v>
      </c>
      <c r="B34" s="186">
        <v>0</v>
      </c>
      <c r="C34" s="186">
        <v>0.746</v>
      </c>
      <c r="D34" s="186">
        <v>0.69399999999999995</v>
      </c>
      <c r="E34" s="186">
        <v>0.65200000000000002</v>
      </c>
      <c r="F34" s="186">
        <v>0.71299999999999997</v>
      </c>
      <c r="G34" s="186">
        <v>0.81399999999999995</v>
      </c>
      <c r="H34" s="186">
        <v>0.67100000000000004</v>
      </c>
      <c r="I34" s="186">
        <v>0.65300000000000002</v>
      </c>
      <c r="J34" s="186"/>
      <c r="K34" s="186">
        <v>0.67400000000000004</v>
      </c>
      <c r="L34" s="186">
        <v>0.66300000000000003</v>
      </c>
      <c r="M34" s="187"/>
      <c r="N34" s="186">
        <v>0.70599999999999996</v>
      </c>
      <c r="O34" s="186">
        <v>0.73</v>
      </c>
      <c r="P34" s="187"/>
      <c r="Q34" s="186">
        <v>0</v>
      </c>
      <c r="R34" s="186">
        <v>0.72599999999999998</v>
      </c>
      <c r="S34" s="186">
        <v>0.73399999999999999</v>
      </c>
    </row>
    <row r="35" spans="1:19" ht="15.75" customHeight="1" x14ac:dyDescent="0.2">
      <c r="A35" s="238" t="s">
        <v>378</v>
      </c>
      <c r="B35" s="186">
        <v>0</v>
      </c>
      <c r="C35" s="186">
        <v>-4.0000000000000001E-3</v>
      </c>
      <c r="D35" s="186">
        <v>1.7000000000000001E-2</v>
      </c>
      <c r="E35" s="186">
        <v>1.0999999999999999E-2</v>
      </c>
      <c r="F35" s="186">
        <v>6.0000000000000001E-3</v>
      </c>
      <c r="G35" s="186">
        <v>-8.9999999999999993E-3</v>
      </c>
      <c r="H35" s="186">
        <v>6.6000000000000003E-2</v>
      </c>
      <c r="I35" s="186">
        <v>-1.0999999999999999E-2</v>
      </c>
      <c r="J35" s="186"/>
      <c r="K35" s="186">
        <v>1.4E-2</v>
      </c>
      <c r="L35" s="186">
        <v>2.9000000000000001E-2</v>
      </c>
      <c r="M35" s="187"/>
      <c r="N35" s="186">
        <v>5.0000000000000001E-3</v>
      </c>
      <c r="O35" s="186">
        <v>1.2E-2</v>
      </c>
      <c r="P35" s="187"/>
      <c r="Q35" s="186">
        <v>0</v>
      </c>
      <c r="R35" s="186">
        <v>0.01</v>
      </c>
      <c r="S35" s="186">
        <v>-1E-3</v>
      </c>
    </row>
    <row r="36" spans="1:19" ht="15.75" customHeight="1" x14ac:dyDescent="0.2">
      <c r="A36" s="238" t="s">
        <v>214</v>
      </c>
      <c r="B36" s="188">
        <v>0</v>
      </c>
      <c r="C36" s="188">
        <v>1.4999999999999999E-2</v>
      </c>
      <c r="D36" s="188">
        <v>2.1000000000000001E-2</v>
      </c>
      <c r="E36" s="188">
        <v>1.2E-2</v>
      </c>
      <c r="F36" s="188">
        <v>3.0000000000000001E-3</v>
      </c>
      <c r="G36" s="188">
        <v>2E-3</v>
      </c>
      <c r="H36" s="188">
        <v>2.7E-2</v>
      </c>
      <c r="I36" s="188">
        <v>2.8000000000000001E-2</v>
      </c>
      <c r="J36" s="188"/>
      <c r="K36" s="188">
        <v>1.7000000000000001E-2</v>
      </c>
      <c r="L36" s="188">
        <v>2.7E-2</v>
      </c>
      <c r="M36" s="190"/>
      <c r="N36" s="188">
        <v>1.6E-2</v>
      </c>
      <c r="O36" s="188">
        <v>1.6E-2</v>
      </c>
      <c r="P36" s="190"/>
      <c r="Q36" s="188">
        <v>0</v>
      </c>
      <c r="R36" s="188">
        <v>1.2999999999999999E-2</v>
      </c>
      <c r="S36" s="188">
        <v>1.7999999999999999E-2</v>
      </c>
    </row>
    <row r="37" spans="1:19" s="182" customFormat="1" ht="15.75" customHeight="1" x14ac:dyDescent="0.25">
      <c r="A37" s="166" t="s">
        <v>174</v>
      </c>
      <c r="B37" s="189">
        <f t="shared" ref="B37:E37" si="38">B27</f>
        <v>0</v>
      </c>
      <c r="C37" s="189">
        <f t="shared" si="38"/>
        <v>0.75700000000000001</v>
      </c>
      <c r="D37" s="189">
        <f t="shared" si="38"/>
        <v>0.73199999999999998</v>
      </c>
      <c r="E37" s="189">
        <f t="shared" si="38"/>
        <v>0.67500000000000004</v>
      </c>
      <c r="F37" s="189">
        <f t="shared" ref="F37:I37" si="39">F27</f>
        <v>0.72199999999999998</v>
      </c>
      <c r="G37" s="189">
        <f t="shared" si="39"/>
        <v>0.80700000000000005</v>
      </c>
      <c r="H37" s="189">
        <f t="shared" si="39"/>
        <v>0.76400000000000001</v>
      </c>
      <c r="I37" s="189">
        <f t="shared" si="39"/>
        <v>0.67</v>
      </c>
      <c r="J37" s="191"/>
      <c r="K37" s="189">
        <f>K27</f>
        <v>0.70499999999999996</v>
      </c>
      <c r="L37" s="189">
        <f>L27</f>
        <v>0.71899999999999997</v>
      </c>
      <c r="M37" s="189"/>
      <c r="N37" s="189">
        <f>N27</f>
        <v>0.72699999999999998</v>
      </c>
      <c r="O37" s="189">
        <f>O27</f>
        <v>0.75800000000000001</v>
      </c>
      <c r="P37" s="189"/>
      <c r="Q37" s="189">
        <f>Q27</f>
        <v>0</v>
      </c>
      <c r="R37" s="189">
        <f>R27</f>
        <v>0.749</v>
      </c>
      <c r="S37" s="189">
        <f>S27</f>
        <v>0.751</v>
      </c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&amp;C8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4"/>
  <dimension ref="A1:V37"/>
  <sheetViews>
    <sheetView zoomScale="85" zoomScaleNormal="85" workbookViewId="0"/>
  </sheetViews>
  <sheetFormatPr defaultColWidth="9.77734375" defaultRowHeight="15.75" customHeight="1" x14ac:dyDescent="0.2"/>
  <cols>
    <col min="1" max="1" width="55.77734375" style="179" customWidth="1"/>
    <col min="2" max="2" width="10.77734375" style="18" hidden="1" customWidth="1"/>
    <col min="3" max="7" width="10.77734375" style="18" customWidth="1"/>
    <col min="8" max="9" width="10.77734375" style="18" hidden="1" customWidth="1"/>
    <col min="10" max="10" width="1.77734375" style="18" customWidth="1"/>
    <col min="11" max="12" width="10.77734375" style="18" hidden="1" customWidth="1"/>
    <col min="13" max="13" width="1.77734375" style="18" hidden="1" customWidth="1"/>
    <col min="14" max="15" width="10.77734375" style="18" customWidth="1"/>
    <col min="16" max="16" width="1.77734375" style="18" hidden="1" customWidth="1"/>
    <col min="17" max="19" width="10.77734375" style="18" hidden="1" customWidth="1"/>
    <col min="20" max="16384" width="9.77734375" style="19"/>
  </cols>
  <sheetData>
    <row r="1" spans="1:22" s="172" customFormat="1" ht="18" x14ac:dyDescent="0.25">
      <c r="A1" s="131" t="str">
        <f>'Cover Page'!$H$10</f>
        <v>American Financial Group, Inc.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22" s="172" customFormat="1" ht="18" x14ac:dyDescent="0.25">
      <c r="A2" s="173" t="s">
        <v>56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22" s="172" customFormat="1" ht="18" x14ac:dyDescent="0.25">
      <c r="A3" s="16" t="s">
        <v>14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22" s="172" customFormat="1" ht="18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22" s="179" customFormat="1" x14ac:dyDescent="0.25">
      <c r="A5" s="20"/>
      <c r="B5" s="145" t="s">
        <v>2</v>
      </c>
      <c r="C5" s="145" t="s">
        <v>2</v>
      </c>
      <c r="D5" s="145"/>
      <c r="E5" s="145"/>
      <c r="F5" s="146"/>
      <c r="G5" s="146"/>
      <c r="H5" s="146"/>
      <c r="I5" s="146"/>
      <c r="J5" s="17"/>
      <c r="K5" s="145" t="s">
        <v>6</v>
      </c>
      <c r="L5" s="146"/>
      <c r="M5" s="180"/>
      <c r="N5" s="145" t="s">
        <v>7</v>
      </c>
      <c r="O5" s="146"/>
      <c r="Q5" s="145" t="s">
        <v>3</v>
      </c>
      <c r="R5" s="145" t="s">
        <v>3</v>
      </c>
      <c r="S5" s="146"/>
    </row>
    <row r="6" spans="1:22" s="143" customFormat="1" ht="20.25" x14ac:dyDescent="0.55000000000000004">
      <c r="A6" s="150"/>
      <c r="B6" s="69" t="s">
        <v>384</v>
      </c>
      <c r="C6" s="69" t="s">
        <v>385</v>
      </c>
      <c r="D6" s="69" t="s">
        <v>386</v>
      </c>
      <c r="E6" s="69" t="s">
        <v>387</v>
      </c>
      <c r="F6" s="69" t="s">
        <v>322</v>
      </c>
      <c r="G6" s="69" t="s">
        <v>323</v>
      </c>
      <c r="H6" s="69" t="s">
        <v>324</v>
      </c>
      <c r="I6" s="69" t="s">
        <v>325</v>
      </c>
      <c r="J6" s="84"/>
      <c r="K6" s="84" t="s">
        <v>386</v>
      </c>
      <c r="L6" s="84" t="s">
        <v>324</v>
      </c>
      <c r="M6" s="84"/>
      <c r="N6" s="84" t="s">
        <v>385</v>
      </c>
      <c r="O6" s="84" t="s">
        <v>323</v>
      </c>
      <c r="P6" s="84"/>
      <c r="Q6" s="84" t="s">
        <v>384</v>
      </c>
      <c r="R6" s="84" t="s">
        <v>322</v>
      </c>
      <c r="S6" s="84" t="s">
        <v>117</v>
      </c>
      <c r="T6" s="142"/>
      <c r="U6" s="142"/>
      <c r="V6" s="96"/>
    </row>
    <row r="7" spans="1:22" x14ac:dyDescent="0.25">
      <c r="A7" s="15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21"/>
      <c r="N7" s="87"/>
      <c r="O7" s="87"/>
      <c r="P7" s="21"/>
      <c r="Q7" s="87"/>
      <c r="R7" s="87"/>
      <c r="S7" s="87"/>
    </row>
    <row r="8" spans="1:22" ht="15" x14ac:dyDescent="0.2">
      <c r="A8" s="16" t="s">
        <v>215</v>
      </c>
      <c r="B8" s="22">
        <f>Q8-N8</f>
        <v>-2078</v>
      </c>
      <c r="C8" s="22">
        <f>N8-K8</f>
        <v>734</v>
      </c>
      <c r="D8" s="22">
        <f>K8-E8</f>
        <v>661</v>
      </c>
      <c r="E8" s="22">
        <v>683</v>
      </c>
      <c r="F8" s="22">
        <f>R8-O8</f>
        <v>660</v>
      </c>
      <c r="G8" s="22">
        <f>O8-L8</f>
        <v>707</v>
      </c>
      <c r="H8" s="22">
        <f>L8-I8</f>
        <v>655</v>
      </c>
      <c r="I8" s="22">
        <v>507</v>
      </c>
      <c r="J8" s="22"/>
      <c r="K8" s="22">
        <v>1344</v>
      </c>
      <c r="L8" s="22">
        <v>1162</v>
      </c>
      <c r="M8" s="23"/>
      <c r="N8" s="22">
        <v>2078</v>
      </c>
      <c r="O8" s="22">
        <v>1869</v>
      </c>
      <c r="P8" s="23"/>
      <c r="Q8" s="22">
        <v>0</v>
      </c>
      <c r="R8" s="22">
        <v>2529</v>
      </c>
      <c r="S8" s="22">
        <v>1790</v>
      </c>
    </row>
    <row r="9" spans="1:22" ht="17.25" x14ac:dyDescent="0.35">
      <c r="A9" s="16" t="s">
        <v>216</v>
      </c>
      <c r="B9" s="85">
        <f t="shared" ref="B9:H9" si="0">B10-B8</f>
        <v>529</v>
      </c>
      <c r="C9" s="85">
        <f t="shared" si="0"/>
        <v>-189</v>
      </c>
      <c r="D9" s="85">
        <f t="shared" si="0"/>
        <v>-158</v>
      </c>
      <c r="E9" s="85">
        <f t="shared" si="0"/>
        <v>-182</v>
      </c>
      <c r="F9" s="85">
        <f t="shared" si="0"/>
        <v>-162</v>
      </c>
      <c r="G9" s="85">
        <f t="shared" si="0"/>
        <v>-171</v>
      </c>
      <c r="H9" s="85">
        <f t="shared" si="0"/>
        <v>-156</v>
      </c>
      <c r="I9" s="85">
        <f t="shared" ref="I9" si="1">I10-I8</f>
        <v>-176</v>
      </c>
      <c r="J9" s="17"/>
      <c r="K9" s="85">
        <f t="shared" ref="K9" si="2">K10-K8</f>
        <v>-340</v>
      </c>
      <c r="L9" s="85">
        <f t="shared" ref="L9" si="3">L10-L8</f>
        <v>-332</v>
      </c>
      <c r="M9" s="86"/>
      <c r="N9" s="85">
        <f t="shared" ref="N9" si="4">N10-N8</f>
        <v>-529</v>
      </c>
      <c r="O9" s="85">
        <f t="shared" ref="O9" si="5">O10-O8</f>
        <v>-503</v>
      </c>
      <c r="P9" s="86"/>
      <c r="Q9" s="85">
        <f t="shared" ref="Q9" si="6">Q10-Q8</f>
        <v>0</v>
      </c>
      <c r="R9" s="85">
        <f t="shared" ref="R9:S9" si="7">R10-R8</f>
        <v>-665</v>
      </c>
      <c r="S9" s="85">
        <f t="shared" si="7"/>
        <v>-566</v>
      </c>
    </row>
    <row r="10" spans="1:22" ht="15" x14ac:dyDescent="0.2">
      <c r="A10" s="16" t="s">
        <v>217</v>
      </c>
      <c r="B10" s="17">
        <f>Q10-N10</f>
        <v>-1549</v>
      </c>
      <c r="C10" s="17">
        <f>N10-K10</f>
        <v>545</v>
      </c>
      <c r="D10" s="17">
        <f>K10-E10</f>
        <v>503</v>
      </c>
      <c r="E10" s="17">
        <v>501</v>
      </c>
      <c r="F10" s="17">
        <f>R10-O10</f>
        <v>498</v>
      </c>
      <c r="G10" s="17">
        <f>O10-L10</f>
        <v>536</v>
      </c>
      <c r="H10" s="17">
        <f>L10-I10</f>
        <v>499</v>
      </c>
      <c r="I10" s="17">
        <v>331</v>
      </c>
      <c r="J10" s="17"/>
      <c r="K10" s="17">
        <v>1004</v>
      </c>
      <c r="L10" s="17">
        <v>830</v>
      </c>
      <c r="N10" s="17">
        <v>1549</v>
      </c>
      <c r="O10" s="17">
        <v>1366</v>
      </c>
      <c r="Q10" s="17">
        <v>0</v>
      </c>
      <c r="R10" s="17">
        <v>1864</v>
      </c>
      <c r="S10" s="17">
        <v>1224</v>
      </c>
    </row>
    <row r="11" spans="1:22" ht="17.25" x14ac:dyDescent="0.35">
      <c r="A11" s="16" t="s">
        <v>48</v>
      </c>
      <c r="B11" s="85">
        <f t="shared" ref="B11:H11" si="8">B12-B10</f>
        <v>53</v>
      </c>
      <c r="C11" s="85">
        <f t="shared" si="8"/>
        <v>-42</v>
      </c>
      <c r="D11" s="85">
        <f t="shared" si="8"/>
        <v>0</v>
      </c>
      <c r="E11" s="85">
        <f t="shared" si="8"/>
        <v>-11</v>
      </c>
      <c r="F11" s="85">
        <f t="shared" si="8"/>
        <v>1</v>
      </c>
      <c r="G11" s="85">
        <f t="shared" si="8"/>
        <v>-50</v>
      </c>
      <c r="H11" s="85">
        <f t="shared" si="8"/>
        <v>-32</v>
      </c>
      <c r="I11" s="85">
        <f t="shared" ref="I11" si="9">I12-I10</f>
        <v>-18</v>
      </c>
      <c r="J11" s="17"/>
      <c r="K11" s="85">
        <f t="shared" ref="K11" si="10">K12-K10</f>
        <v>-11</v>
      </c>
      <c r="L11" s="85">
        <f t="shared" ref="L11" si="11">L12-L10</f>
        <v>-50</v>
      </c>
      <c r="N11" s="85">
        <f t="shared" ref="N11" si="12">N12-N10</f>
        <v>-53</v>
      </c>
      <c r="O11" s="85">
        <f t="shared" ref="O11" si="13">O12-O10</f>
        <v>-100</v>
      </c>
      <c r="Q11" s="85">
        <f t="shared" ref="Q11" si="14">Q12-Q10</f>
        <v>0</v>
      </c>
      <c r="R11" s="85">
        <f t="shared" ref="R11:S11" si="15">R12-R10</f>
        <v>-99</v>
      </c>
      <c r="S11" s="85">
        <f t="shared" si="15"/>
        <v>-89</v>
      </c>
    </row>
    <row r="12" spans="1:22" x14ac:dyDescent="0.25">
      <c r="A12" s="20" t="s">
        <v>218</v>
      </c>
      <c r="B12" s="17">
        <f>Q12-N12</f>
        <v>-1496</v>
      </c>
      <c r="C12" s="17">
        <f>N12-K12</f>
        <v>503</v>
      </c>
      <c r="D12" s="17">
        <f>K12-E12</f>
        <v>503</v>
      </c>
      <c r="E12" s="17">
        <v>490</v>
      </c>
      <c r="F12" s="17">
        <f>R12-O12</f>
        <v>499</v>
      </c>
      <c r="G12" s="17">
        <f>O12-L12</f>
        <v>486</v>
      </c>
      <c r="H12" s="17">
        <f>L12-I12</f>
        <v>467</v>
      </c>
      <c r="I12" s="17">
        <v>313</v>
      </c>
      <c r="J12" s="17"/>
      <c r="K12" s="17">
        <v>993</v>
      </c>
      <c r="L12" s="17">
        <v>780</v>
      </c>
      <c r="M12" s="21"/>
      <c r="N12" s="17">
        <v>1496</v>
      </c>
      <c r="O12" s="17">
        <v>1266</v>
      </c>
      <c r="P12" s="21"/>
      <c r="Q12" s="17">
        <v>0</v>
      </c>
      <c r="R12" s="17">
        <v>1765</v>
      </c>
      <c r="S12" s="17">
        <v>1135</v>
      </c>
    </row>
    <row r="13" spans="1:22" x14ac:dyDescent="0.25">
      <c r="A13" s="20"/>
      <c r="B13" s="87"/>
      <c r="C13" s="87"/>
      <c r="D13" s="87"/>
      <c r="E13" s="87"/>
      <c r="F13" s="87"/>
      <c r="G13" s="87"/>
      <c r="H13" s="87"/>
      <c r="I13" s="87"/>
      <c r="J13" s="17"/>
      <c r="K13" s="87"/>
      <c r="L13" s="87"/>
      <c r="N13" s="87"/>
      <c r="O13" s="87"/>
      <c r="Q13" s="87"/>
      <c r="R13" s="87"/>
      <c r="S13" s="87"/>
    </row>
    <row r="14" spans="1:22" ht="15" x14ac:dyDescent="0.2">
      <c r="A14" s="20" t="s">
        <v>154</v>
      </c>
      <c r="B14" s="18">
        <f>Q14-N14</f>
        <v>-950</v>
      </c>
      <c r="C14" s="18">
        <f>N14-K14</f>
        <v>323</v>
      </c>
      <c r="D14" s="18">
        <f>K14-E14</f>
        <v>311</v>
      </c>
      <c r="E14" s="18">
        <v>316</v>
      </c>
      <c r="F14" s="18">
        <f>R14-O14</f>
        <v>325</v>
      </c>
      <c r="G14" s="18">
        <f>O14-L14</f>
        <v>310</v>
      </c>
      <c r="H14" s="18">
        <f>L14-I14</f>
        <v>300</v>
      </c>
      <c r="I14" s="18">
        <v>172</v>
      </c>
      <c r="J14" s="17"/>
      <c r="K14" s="18">
        <v>627</v>
      </c>
      <c r="L14" s="18">
        <v>472</v>
      </c>
      <c r="N14" s="18">
        <v>950</v>
      </c>
      <c r="O14" s="18">
        <v>782</v>
      </c>
      <c r="Q14" s="18">
        <v>0</v>
      </c>
      <c r="R14" s="18">
        <v>1107</v>
      </c>
      <c r="S14" s="18">
        <v>653</v>
      </c>
    </row>
    <row r="15" spans="1:22" ht="17.25" x14ac:dyDescent="0.35">
      <c r="A15" s="20" t="s">
        <v>299</v>
      </c>
      <c r="B15" s="88">
        <f>Q15-N15</f>
        <v>-450</v>
      </c>
      <c r="C15" s="88">
        <f>N15-K15</f>
        <v>149</v>
      </c>
      <c r="D15" s="88">
        <f>K15-E15</f>
        <v>155</v>
      </c>
      <c r="E15" s="88">
        <v>146</v>
      </c>
      <c r="F15" s="88">
        <f>R15-O15</f>
        <v>138</v>
      </c>
      <c r="G15" s="88">
        <f>O15-L15</f>
        <v>144</v>
      </c>
      <c r="H15" s="88">
        <f>L15-I15</f>
        <v>137</v>
      </c>
      <c r="I15" s="88">
        <v>103</v>
      </c>
      <c r="J15" s="85"/>
      <c r="K15" s="88">
        <v>301</v>
      </c>
      <c r="L15" s="88">
        <v>240</v>
      </c>
      <c r="M15" s="88"/>
      <c r="N15" s="88">
        <v>450</v>
      </c>
      <c r="O15" s="88">
        <v>384</v>
      </c>
      <c r="P15" s="88"/>
      <c r="Q15" s="88">
        <v>0</v>
      </c>
      <c r="R15" s="88">
        <v>522</v>
      </c>
      <c r="S15" s="88">
        <v>380</v>
      </c>
    </row>
    <row r="16" spans="1:22" s="182" customFormat="1" ht="18" x14ac:dyDescent="0.4">
      <c r="A16" s="181" t="s">
        <v>77</v>
      </c>
      <c r="B16" s="89">
        <f t="shared" ref="B16:H16" si="16">B12-SUM(B14:B15)</f>
        <v>-96</v>
      </c>
      <c r="C16" s="89">
        <f t="shared" si="16"/>
        <v>31</v>
      </c>
      <c r="D16" s="89">
        <f t="shared" si="16"/>
        <v>37</v>
      </c>
      <c r="E16" s="89">
        <f t="shared" si="16"/>
        <v>28</v>
      </c>
      <c r="F16" s="89">
        <f t="shared" si="16"/>
        <v>36</v>
      </c>
      <c r="G16" s="89">
        <f t="shared" si="16"/>
        <v>32</v>
      </c>
      <c r="H16" s="89">
        <f t="shared" si="16"/>
        <v>30</v>
      </c>
      <c r="I16" s="89">
        <f t="shared" ref="I16" si="17">I12-SUM(I14:I15)</f>
        <v>38</v>
      </c>
      <c r="J16" s="90"/>
      <c r="K16" s="89">
        <f t="shared" ref="K16" si="18">K12-SUM(K14:K15)</f>
        <v>65</v>
      </c>
      <c r="L16" s="89">
        <f t="shared" ref="L16" si="19">L12-SUM(L14:L15)</f>
        <v>68</v>
      </c>
      <c r="M16" s="91"/>
      <c r="N16" s="89">
        <f t="shared" ref="N16" si="20">N12-SUM(N14:N15)</f>
        <v>96</v>
      </c>
      <c r="O16" s="89">
        <f t="shared" ref="O16" si="21">O12-SUM(O14:O15)</f>
        <v>100</v>
      </c>
      <c r="P16" s="91"/>
      <c r="Q16" s="89">
        <f t="shared" ref="Q16" si="22">Q12-SUM(Q14:Q15)</f>
        <v>0</v>
      </c>
      <c r="R16" s="89">
        <f t="shared" ref="R16:S16" si="23">R12-SUM(R14:R15)</f>
        <v>136</v>
      </c>
      <c r="S16" s="89">
        <f t="shared" si="23"/>
        <v>102</v>
      </c>
    </row>
    <row r="17" spans="1:20" x14ac:dyDescent="0.25">
      <c r="A17" s="20"/>
      <c r="B17" s="21"/>
      <c r="C17" s="21"/>
      <c r="D17" s="21"/>
      <c r="E17" s="21"/>
      <c r="F17" s="21"/>
      <c r="G17" s="21"/>
      <c r="H17" s="21"/>
      <c r="I17" s="21"/>
      <c r="J17" s="17"/>
      <c r="K17" s="21"/>
      <c r="L17" s="21"/>
      <c r="M17" s="21"/>
      <c r="N17" s="21"/>
      <c r="O17" s="21"/>
      <c r="P17" s="21"/>
      <c r="Q17" s="21"/>
      <c r="R17" s="21"/>
      <c r="S17" s="21"/>
    </row>
    <row r="18" spans="1:20" x14ac:dyDescent="0.25">
      <c r="A18" s="20" t="s">
        <v>219</v>
      </c>
      <c r="B18" s="21"/>
      <c r="C18" s="21"/>
      <c r="D18" s="21"/>
      <c r="E18" s="21"/>
      <c r="F18" s="21"/>
      <c r="G18" s="21"/>
      <c r="H18" s="21"/>
      <c r="I18" s="21"/>
      <c r="J18" s="17"/>
      <c r="K18" s="21"/>
      <c r="L18" s="21"/>
      <c r="M18" s="21"/>
      <c r="N18" s="21"/>
      <c r="O18" s="21"/>
      <c r="P18" s="21"/>
      <c r="Q18" s="21"/>
      <c r="R18" s="21"/>
      <c r="S18" s="21"/>
    </row>
    <row r="19" spans="1:20" x14ac:dyDescent="0.25">
      <c r="A19" s="415" t="s">
        <v>210</v>
      </c>
      <c r="B19" s="21"/>
      <c r="C19" s="21"/>
      <c r="D19" s="21"/>
      <c r="E19" s="21"/>
      <c r="F19" s="21"/>
      <c r="G19" s="21"/>
      <c r="H19" s="21"/>
      <c r="I19" s="21"/>
      <c r="J19" s="17"/>
      <c r="K19" s="21"/>
      <c r="L19" s="21"/>
      <c r="M19" s="21"/>
      <c r="N19" s="21"/>
      <c r="O19" s="21"/>
      <c r="P19" s="21"/>
      <c r="Q19" s="21"/>
      <c r="R19" s="21"/>
      <c r="S19" s="21"/>
    </row>
    <row r="20" spans="1:20" ht="15" x14ac:dyDescent="0.2">
      <c r="A20" s="458" t="s">
        <v>211</v>
      </c>
      <c r="B20" s="46">
        <f>Q20-N20</f>
        <v>0</v>
      </c>
      <c r="C20" s="46">
        <f>N20-K20</f>
        <v>0</v>
      </c>
      <c r="D20" s="46">
        <f>K20-E20</f>
        <v>0</v>
      </c>
      <c r="E20" s="46">
        <v>0</v>
      </c>
      <c r="F20" s="46">
        <f>R20-O20</f>
        <v>0</v>
      </c>
      <c r="G20" s="46">
        <f>O20-L20</f>
        <v>0</v>
      </c>
      <c r="H20" s="46">
        <f>L20-I20</f>
        <v>0</v>
      </c>
      <c r="I20" s="46">
        <v>0</v>
      </c>
      <c r="J20" s="22"/>
      <c r="K20" s="46">
        <v>0</v>
      </c>
      <c r="L20" s="46">
        <v>0</v>
      </c>
      <c r="M20" s="46"/>
      <c r="N20" s="46">
        <v>0</v>
      </c>
      <c r="O20" s="46">
        <v>0</v>
      </c>
      <c r="P20" s="46"/>
      <c r="Q20" s="46">
        <v>0</v>
      </c>
      <c r="R20" s="46">
        <v>0</v>
      </c>
      <c r="S20" s="46">
        <v>0</v>
      </c>
    </row>
    <row r="21" spans="1:20" ht="17.25" x14ac:dyDescent="0.35">
      <c r="A21" s="458" t="s">
        <v>212</v>
      </c>
      <c r="B21" s="88">
        <f>B22-B20</f>
        <v>-3</v>
      </c>
      <c r="C21" s="88">
        <f t="shared" ref="C21:H21" si="24">C22-C20</f>
        <v>1</v>
      </c>
      <c r="D21" s="88">
        <f t="shared" si="24"/>
        <v>1</v>
      </c>
      <c r="E21" s="88">
        <f t="shared" si="24"/>
        <v>1</v>
      </c>
      <c r="F21" s="88">
        <f t="shared" si="24"/>
        <v>1</v>
      </c>
      <c r="G21" s="88">
        <f t="shared" si="24"/>
        <v>1</v>
      </c>
      <c r="H21" s="88">
        <f t="shared" si="24"/>
        <v>1</v>
      </c>
      <c r="I21" s="88">
        <f t="shared" ref="I21" si="25">I22-I20</f>
        <v>1</v>
      </c>
      <c r="J21" s="85"/>
      <c r="K21" s="88">
        <f t="shared" ref="K21" si="26">K22-K20</f>
        <v>2</v>
      </c>
      <c r="L21" s="88">
        <f t="shared" ref="L21" si="27">L22-L20</f>
        <v>2</v>
      </c>
      <c r="M21" s="88"/>
      <c r="N21" s="88">
        <f>N22-N20</f>
        <v>3</v>
      </c>
      <c r="O21" s="88">
        <f>O22-O20</f>
        <v>3</v>
      </c>
      <c r="P21" s="88"/>
      <c r="Q21" s="88">
        <f t="shared" ref="Q21" si="28">Q22-Q20</f>
        <v>0</v>
      </c>
      <c r="R21" s="88">
        <f t="shared" ref="R21:S21" si="29">R22-R20</f>
        <v>4</v>
      </c>
      <c r="S21" s="88">
        <f t="shared" si="29"/>
        <v>1</v>
      </c>
    </row>
    <row r="22" spans="1:20" ht="17.25" x14ac:dyDescent="0.35">
      <c r="A22" s="457" t="s">
        <v>139</v>
      </c>
      <c r="B22" s="382">
        <f>Q22-N22</f>
        <v>-3</v>
      </c>
      <c r="C22" s="382">
        <f>N22-K22</f>
        <v>1</v>
      </c>
      <c r="D22" s="382">
        <f>K22-E22</f>
        <v>1</v>
      </c>
      <c r="E22" s="382">
        <v>1</v>
      </c>
      <c r="F22" s="382">
        <f>R22-O22</f>
        <v>1</v>
      </c>
      <c r="G22" s="382">
        <f>O22-L22</f>
        <v>1</v>
      </c>
      <c r="H22" s="382">
        <f>L22-I22</f>
        <v>1</v>
      </c>
      <c r="I22" s="382">
        <v>1</v>
      </c>
      <c r="J22" s="383"/>
      <c r="K22" s="382">
        <v>2</v>
      </c>
      <c r="L22" s="382">
        <v>2</v>
      </c>
      <c r="M22" s="382"/>
      <c r="N22" s="382">
        <v>3</v>
      </c>
      <c r="O22" s="382">
        <v>3</v>
      </c>
      <c r="P22" s="382"/>
      <c r="Q22" s="382">
        <v>0</v>
      </c>
      <c r="R22" s="382">
        <v>4</v>
      </c>
      <c r="S22" s="382">
        <v>1</v>
      </c>
    </row>
    <row r="23" spans="1:20" ht="15" x14ac:dyDescent="0.2">
      <c r="A23" s="420"/>
      <c r="B23" s="46"/>
      <c r="C23" s="46"/>
      <c r="D23" s="46"/>
      <c r="E23" s="46"/>
      <c r="F23" s="46"/>
      <c r="G23" s="46"/>
      <c r="H23" s="46"/>
      <c r="I23" s="46"/>
      <c r="J23" s="22"/>
      <c r="K23" s="46"/>
      <c r="L23" s="46"/>
      <c r="M23" s="46"/>
      <c r="N23" s="46"/>
      <c r="O23" s="46"/>
      <c r="P23" s="46"/>
      <c r="Q23" s="46"/>
      <c r="R23" s="46"/>
      <c r="S23" s="46"/>
    </row>
    <row r="24" spans="1:20" s="179" customFormat="1" ht="17.25" x14ac:dyDescent="0.35">
      <c r="A24" s="415" t="s">
        <v>376</v>
      </c>
      <c r="B24" s="382">
        <f>Q24-N24</f>
        <v>4</v>
      </c>
      <c r="C24" s="382">
        <f>N24-K24</f>
        <v>3</v>
      </c>
      <c r="D24" s="382">
        <f>K24-E24</f>
        <v>-7</v>
      </c>
      <c r="E24" s="382">
        <v>0</v>
      </c>
      <c r="F24" s="382">
        <f>R24-O24</f>
        <v>14</v>
      </c>
      <c r="G24" s="382">
        <f>O24-L24</f>
        <v>7</v>
      </c>
      <c r="H24" s="382">
        <f>L24-I24</f>
        <v>-4</v>
      </c>
      <c r="I24" s="382">
        <v>-24</v>
      </c>
      <c r="J24" s="383"/>
      <c r="K24" s="382">
        <v>-7</v>
      </c>
      <c r="L24" s="382">
        <v>-28</v>
      </c>
      <c r="M24" s="382"/>
      <c r="N24" s="382">
        <v>-4</v>
      </c>
      <c r="O24" s="382">
        <v>-21</v>
      </c>
      <c r="P24" s="382"/>
      <c r="Q24" s="382">
        <v>0</v>
      </c>
      <c r="R24" s="382">
        <v>-7</v>
      </c>
      <c r="S24" s="382">
        <v>-40</v>
      </c>
    </row>
    <row r="25" spans="1:20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17"/>
      <c r="K25" s="21"/>
      <c r="L25" s="21"/>
      <c r="M25" s="21"/>
      <c r="N25" s="21"/>
      <c r="O25" s="21"/>
      <c r="P25" s="21"/>
      <c r="Q25" s="21"/>
      <c r="R25" s="21"/>
      <c r="S25" s="21"/>
    </row>
    <row r="26" spans="1:20" x14ac:dyDescent="0.25">
      <c r="A26" s="144" t="s">
        <v>213</v>
      </c>
      <c r="B26" s="87"/>
      <c r="C26" s="87"/>
      <c r="D26" s="87"/>
      <c r="E26" s="87"/>
      <c r="F26" s="87"/>
      <c r="G26" s="87"/>
      <c r="H26" s="87"/>
      <c r="I26" s="87"/>
      <c r="J26" s="17"/>
      <c r="K26" s="87"/>
      <c r="L26" s="87"/>
      <c r="N26" s="87"/>
      <c r="O26" s="87"/>
      <c r="Q26" s="87"/>
      <c r="R26" s="87"/>
      <c r="S26" s="87"/>
    </row>
    <row r="27" spans="1:20" ht="15" x14ac:dyDescent="0.2">
      <c r="A27" s="419" t="s">
        <v>174</v>
      </c>
      <c r="B27" s="194">
        <v>0</v>
      </c>
      <c r="C27" s="194">
        <v>0.64200000000000002</v>
      </c>
      <c r="D27" s="194">
        <v>0.61899999999999999</v>
      </c>
      <c r="E27" s="194">
        <v>0.64400000000000002</v>
      </c>
      <c r="F27" s="194">
        <v>0.65100000000000002</v>
      </c>
      <c r="G27" s="194">
        <v>0.63700000000000001</v>
      </c>
      <c r="H27" s="194">
        <v>0.64300000000000002</v>
      </c>
      <c r="I27" s="194">
        <v>0.55000000000000004</v>
      </c>
      <c r="J27" s="194"/>
      <c r="K27" s="194">
        <v>0.63100000000000001</v>
      </c>
      <c r="L27" s="194">
        <v>0.60499999999999998</v>
      </c>
      <c r="M27" s="195"/>
      <c r="N27" s="194">
        <v>0.63500000000000001</v>
      </c>
      <c r="O27" s="194">
        <v>0.61799999999999999</v>
      </c>
      <c r="P27" s="195"/>
      <c r="Q27" s="194">
        <v>0</v>
      </c>
      <c r="R27" s="194">
        <v>0.627</v>
      </c>
      <c r="S27" s="194">
        <v>0.57499999999999996</v>
      </c>
    </row>
    <row r="28" spans="1:20" ht="15" x14ac:dyDescent="0.2">
      <c r="A28" s="419" t="s">
        <v>300</v>
      </c>
      <c r="B28" s="196">
        <v>0</v>
      </c>
      <c r="C28" s="196">
        <v>0.29599999999999999</v>
      </c>
      <c r="D28" s="196">
        <v>0.308</v>
      </c>
      <c r="E28" s="196">
        <v>0.29799999999999999</v>
      </c>
      <c r="F28" s="196">
        <v>0.27800000000000002</v>
      </c>
      <c r="G28" s="196">
        <v>0.29599999999999999</v>
      </c>
      <c r="H28" s="196">
        <v>0.29299999999999998</v>
      </c>
      <c r="I28" s="196">
        <v>0.32800000000000001</v>
      </c>
      <c r="J28" s="196"/>
      <c r="K28" s="196">
        <v>0.30299999999999999</v>
      </c>
      <c r="L28" s="196">
        <v>0.307</v>
      </c>
      <c r="M28" s="197"/>
      <c r="N28" s="196">
        <v>0.30099999999999999</v>
      </c>
      <c r="O28" s="196">
        <v>0.30299999999999999</v>
      </c>
      <c r="P28" s="197"/>
      <c r="Q28" s="196">
        <v>0</v>
      </c>
      <c r="R28" s="196">
        <v>0.29599999999999999</v>
      </c>
      <c r="S28" s="196">
        <v>0.33400000000000002</v>
      </c>
    </row>
    <row r="29" spans="1:20" s="182" customFormat="1" x14ac:dyDescent="0.25">
      <c r="A29" s="183" t="s">
        <v>76</v>
      </c>
      <c r="B29" s="198">
        <f t="shared" ref="B29:E29" si="30">SUM(B27:B28)</f>
        <v>0</v>
      </c>
      <c r="C29" s="198">
        <f t="shared" si="30"/>
        <v>0.93799999999999994</v>
      </c>
      <c r="D29" s="198">
        <f t="shared" si="30"/>
        <v>0.92700000000000005</v>
      </c>
      <c r="E29" s="198">
        <f t="shared" si="30"/>
        <v>0.94199999999999995</v>
      </c>
      <c r="F29" s="198">
        <f t="shared" ref="F29:I29" si="31">SUM(F27:F28)</f>
        <v>0.92900000000000005</v>
      </c>
      <c r="G29" s="198">
        <f t="shared" si="31"/>
        <v>0.93300000000000005</v>
      </c>
      <c r="H29" s="198">
        <f t="shared" si="31"/>
        <v>0.93599999999999994</v>
      </c>
      <c r="I29" s="198">
        <f t="shared" si="31"/>
        <v>0.87800000000000011</v>
      </c>
      <c r="J29" s="199"/>
      <c r="K29" s="198">
        <f t="shared" ref="K29" si="32">SUM(K27:K28)</f>
        <v>0.93399999999999994</v>
      </c>
      <c r="L29" s="198">
        <f t="shared" ref="L29" si="33">SUM(L27:L28)</f>
        <v>0.91199999999999992</v>
      </c>
      <c r="M29" s="200"/>
      <c r="N29" s="198">
        <f t="shared" ref="N29" si="34">SUM(N27:N28)</f>
        <v>0.93599999999999994</v>
      </c>
      <c r="O29" s="198">
        <f t="shared" ref="O29" si="35">SUM(O27:O28)</f>
        <v>0.92100000000000004</v>
      </c>
      <c r="P29" s="200"/>
      <c r="Q29" s="198">
        <f t="shared" ref="Q29" si="36">SUM(Q27:Q28)</f>
        <v>0</v>
      </c>
      <c r="R29" s="198">
        <f t="shared" ref="R29:S29" si="37">SUM(R27:R28)</f>
        <v>0.92300000000000004</v>
      </c>
      <c r="S29" s="198">
        <f t="shared" si="37"/>
        <v>0.90900000000000003</v>
      </c>
    </row>
    <row r="30" spans="1:20" ht="15.75" customHeight="1" x14ac:dyDescent="0.2"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</row>
    <row r="31" spans="1:20" ht="15.75" customHeight="1" x14ac:dyDescent="0.25">
      <c r="A31" s="153" t="s">
        <v>377</v>
      </c>
      <c r="B31" s="483">
        <v>0</v>
      </c>
      <c r="C31" s="483">
        <v>0.92900000000000005</v>
      </c>
      <c r="D31" s="483">
        <v>0.94</v>
      </c>
      <c r="E31" s="483">
        <v>0.93899999999999995</v>
      </c>
      <c r="F31" s="483">
        <v>0.89900000000000002</v>
      </c>
      <c r="G31" s="483">
        <v>0.91600000000000004</v>
      </c>
      <c r="H31" s="483">
        <v>0.94299999999999995</v>
      </c>
      <c r="I31" s="483">
        <v>0.95099999999999996</v>
      </c>
      <c r="J31" s="483"/>
      <c r="K31" s="483">
        <v>0.94</v>
      </c>
      <c r="L31" s="483">
        <v>0.94599999999999995</v>
      </c>
      <c r="M31" s="483"/>
      <c r="N31" s="483">
        <v>0.93600000000000005</v>
      </c>
      <c r="O31" s="483">
        <v>0.93500000000000005</v>
      </c>
      <c r="P31" s="483"/>
      <c r="Q31" s="483">
        <v>0</v>
      </c>
      <c r="R31" s="483">
        <v>0.92500000000000004</v>
      </c>
      <c r="S31" s="483">
        <v>0.94399999999999995</v>
      </c>
      <c r="T31" s="168"/>
    </row>
    <row r="32" spans="1:20" ht="15.75" customHeight="1" x14ac:dyDescent="0.2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</row>
    <row r="33" spans="1:19" ht="15.75" customHeight="1" x14ac:dyDescent="0.2">
      <c r="A33" s="144" t="s">
        <v>141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</row>
    <row r="34" spans="1:19" ht="15.75" customHeight="1" x14ac:dyDescent="0.2">
      <c r="A34" s="238" t="s">
        <v>220</v>
      </c>
      <c r="B34" s="354">
        <v>0</v>
      </c>
      <c r="C34" s="354">
        <v>0.63300000000000001</v>
      </c>
      <c r="D34" s="354">
        <v>0.63200000000000001</v>
      </c>
      <c r="E34" s="354">
        <v>0.64100000000000001</v>
      </c>
      <c r="F34" s="354">
        <v>0.621</v>
      </c>
      <c r="G34" s="354">
        <v>0.62</v>
      </c>
      <c r="H34" s="354">
        <v>0.65</v>
      </c>
      <c r="I34" s="354">
        <v>0.623</v>
      </c>
      <c r="J34" s="123"/>
      <c r="K34" s="354">
        <v>0.63700000000000001</v>
      </c>
      <c r="L34" s="354">
        <v>0.63900000000000001</v>
      </c>
      <c r="M34" s="123"/>
      <c r="N34" s="354">
        <v>0.63500000000000001</v>
      </c>
      <c r="O34" s="354">
        <v>0.63200000000000001</v>
      </c>
      <c r="P34" s="123"/>
      <c r="Q34" s="354">
        <v>0</v>
      </c>
      <c r="R34" s="354">
        <v>0.629</v>
      </c>
      <c r="S34" s="354">
        <v>0.61</v>
      </c>
    </row>
    <row r="35" spans="1:19" ht="15.75" customHeight="1" x14ac:dyDescent="0.2">
      <c r="A35" s="238" t="s">
        <v>378</v>
      </c>
      <c r="B35" s="123">
        <v>0</v>
      </c>
      <c r="C35" s="123">
        <v>6.0000000000000001E-3</v>
      </c>
      <c r="D35" s="123">
        <v>-1.4E-2</v>
      </c>
      <c r="E35" s="123">
        <v>0</v>
      </c>
      <c r="F35" s="123">
        <v>2.9000000000000001E-2</v>
      </c>
      <c r="G35" s="123">
        <v>1.2999999999999999E-2</v>
      </c>
      <c r="H35" s="123">
        <v>-8.0000000000000002E-3</v>
      </c>
      <c r="I35" s="123">
        <v>-7.6999999999999999E-2</v>
      </c>
      <c r="J35" s="123"/>
      <c r="K35" s="123">
        <v>-8.0000000000000002E-3</v>
      </c>
      <c r="L35" s="123">
        <v>-3.5999999999999997E-2</v>
      </c>
      <c r="M35" s="123"/>
      <c r="N35" s="123">
        <v>-2E-3</v>
      </c>
      <c r="O35" s="123">
        <v>-1.7000000000000001E-2</v>
      </c>
      <c r="P35" s="123"/>
      <c r="Q35" s="123">
        <v>0</v>
      </c>
      <c r="R35" s="123">
        <v>-4.0000000000000001E-3</v>
      </c>
      <c r="S35" s="123">
        <v>-3.5999999999999997E-2</v>
      </c>
    </row>
    <row r="36" spans="1:19" ht="15.75" customHeight="1" x14ac:dyDescent="0.2">
      <c r="A36" s="238" t="s">
        <v>214</v>
      </c>
      <c r="B36" s="129">
        <v>0</v>
      </c>
      <c r="C36" s="129">
        <v>3.0000000000000001E-3</v>
      </c>
      <c r="D36" s="129">
        <v>1E-3</v>
      </c>
      <c r="E36" s="129">
        <v>3.0000000000000001E-3</v>
      </c>
      <c r="F36" s="129">
        <v>1E-3</v>
      </c>
      <c r="G36" s="129">
        <v>4.0000000000000001E-3</v>
      </c>
      <c r="H36" s="129">
        <v>1E-3</v>
      </c>
      <c r="I36" s="129">
        <v>4.0000000000000001E-3</v>
      </c>
      <c r="J36" s="123"/>
      <c r="K36" s="129">
        <v>2E-3</v>
      </c>
      <c r="L36" s="129">
        <v>2E-3</v>
      </c>
      <c r="M36" s="123"/>
      <c r="N36" s="129">
        <v>2E-3</v>
      </c>
      <c r="O36" s="129">
        <v>3.0000000000000001E-3</v>
      </c>
      <c r="P36" s="123"/>
      <c r="Q36" s="129">
        <v>0</v>
      </c>
      <c r="R36" s="129">
        <v>2E-3</v>
      </c>
      <c r="S36" s="129">
        <v>1E-3</v>
      </c>
    </row>
    <row r="37" spans="1:19" ht="15.75" customHeight="1" x14ac:dyDescent="0.25">
      <c r="A37" s="150" t="s">
        <v>174</v>
      </c>
      <c r="B37" s="130">
        <f t="shared" ref="B37:E37" si="38">B27</f>
        <v>0</v>
      </c>
      <c r="C37" s="130">
        <f t="shared" si="38"/>
        <v>0.64200000000000002</v>
      </c>
      <c r="D37" s="130">
        <f t="shared" si="38"/>
        <v>0.61899999999999999</v>
      </c>
      <c r="E37" s="130">
        <f t="shared" si="38"/>
        <v>0.64400000000000002</v>
      </c>
      <c r="F37" s="130">
        <f t="shared" ref="F37:I37" si="39">F27</f>
        <v>0.65100000000000002</v>
      </c>
      <c r="G37" s="130">
        <f t="shared" si="39"/>
        <v>0.63700000000000001</v>
      </c>
      <c r="H37" s="130">
        <f t="shared" si="39"/>
        <v>0.64300000000000002</v>
      </c>
      <c r="I37" s="130">
        <f t="shared" si="39"/>
        <v>0.55000000000000004</v>
      </c>
      <c r="J37" s="127"/>
      <c r="K37" s="130">
        <f>K27</f>
        <v>0.63100000000000001</v>
      </c>
      <c r="L37" s="130">
        <f>L27</f>
        <v>0.60499999999999998</v>
      </c>
      <c r="M37" s="127"/>
      <c r="N37" s="130">
        <f>N27</f>
        <v>0.63500000000000001</v>
      </c>
      <c r="O37" s="130">
        <f>O27</f>
        <v>0.61799999999999999</v>
      </c>
      <c r="P37" s="127"/>
      <c r="Q37" s="130">
        <f>Q27</f>
        <v>0</v>
      </c>
      <c r="R37" s="130">
        <f>R27</f>
        <v>0.627</v>
      </c>
      <c r="S37" s="130">
        <f>S27</f>
        <v>0.57499999999999996</v>
      </c>
    </row>
  </sheetData>
  <sheetProtection password="CBFD" sheet="1" objects="1" scenarios="1"/>
  <pageMargins left="0.7" right="0.7" top="0.75" bottom="0.25" header="0.3" footer="0.05"/>
  <pageSetup scale="75" orientation="landscape" r:id="rId1"/>
  <headerFooter>
    <oddHeader>&amp;R&amp;G</oddHeader>
    <oddFooter>&amp;C9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29</vt:i4>
      </vt:variant>
    </vt:vector>
  </HeadingPairs>
  <TitlesOfParts>
    <vt:vector size="57" baseType="lpstr">
      <vt:lpstr>Cover Page</vt:lpstr>
      <vt:lpstr>Contents</vt:lpstr>
      <vt:lpstr>Pg 3 Highlights</vt:lpstr>
      <vt:lpstr>Pg 4 Earnings</vt:lpstr>
      <vt:lpstr>Pg 5 Earnings Per Share</vt:lpstr>
      <vt:lpstr>Pg 6 P&amp;C_UW</vt:lpstr>
      <vt:lpstr>Pg 7 P&amp;C_Specialty_UW</vt:lpstr>
      <vt:lpstr>Pg 8 P&amp;C_P&amp;T_UW</vt:lpstr>
      <vt:lpstr>Pg 9 P&amp;C_SC_UW</vt:lpstr>
      <vt:lpstr>Pg 10 P&amp;C_SF_UW</vt:lpstr>
      <vt:lpstr>Pg 11 P&amp;C_Spec_Other_UW</vt:lpstr>
      <vt:lpstr>Pg 12 Annuity Results</vt:lpstr>
      <vt:lpstr>Pg 13 Annuity Benefit Expense</vt:lpstr>
      <vt:lpstr>Pg 14 Annuity_Spread</vt:lpstr>
      <vt:lpstr>Pg 15 Annuity STAT Premiums</vt:lpstr>
      <vt:lpstr>Pg 16 Annuity_Benefits_Accum</vt:lpstr>
      <vt:lpstr>Pg 17 Balance Sheet</vt:lpstr>
      <vt:lpstr>Pg 18 Book Value</vt:lpstr>
      <vt:lpstr>Pg 19 Capitalization</vt:lpstr>
      <vt:lpstr>Pg 20 Additional Supp Data</vt:lpstr>
      <vt:lpstr>Pg 21 Inv_Schedule</vt:lpstr>
      <vt:lpstr>Pg 22 Inv_FM_Cons</vt:lpstr>
      <vt:lpstr>Pg 23 Inv_FM_Segment</vt:lpstr>
      <vt:lpstr>Pg 24 FM NAIC des and Rating</vt:lpstr>
      <vt:lpstr>Pg 25 Inv_MBS_Cons</vt:lpstr>
      <vt:lpstr>Pg 26 Inv_MBS_Segment</vt:lpstr>
      <vt:lpstr>Pg 27 MBS NAIC des and Rating</vt:lpstr>
      <vt:lpstr>Sheet1</vt:lpstr>
      <vt:lpstr>Annuity_Benefit_Expense</vt:lpstr>
      <vt:lpstr>Annuity_Benifits_Accum</vt:lpstr>
      <vt:lpstr>'Pg 13 Annuity Benefit Expense'!Annuity_Results</vt:lpstr>
      <vt:lpstr>Annuity_Results</vt:lpstr>
      <vt:lpstr>Annuity_Spread</vt:lpstr>
      <vt:lpstr>Annuity_STAT_Prem</vt:lpstr>
      <vt:lpstr>Balance_Sheet</vt:lpstr>
      <vt:lpstr>Book_Value</vt:lpstr>
      <vt:lpstr>'Pg 20 Additional Supp Data'!Capitalization</vt:lpstr>
      <vt:lpstr>Capitalization</vt:lpstr>
      <vt:lpstr>Earnings_Per_Share</vt:lpstr>
      <vt:lpstr>FM_Rating_Designation</vt:lpstr>
      <vt:lpstr>Highlights</vt:lpstr>
      <vt:lpstr>Inv_by_Seg</vt:lpstr>
      <vt:lpstr>Inv_FM_Cons</vt:lpstr>
      <vt:lpstr>Inv_FM_Segment</vt:lpstr>
      <vt:lpstr>Inv_MBS_Cons</vt:lpstr>
      <vt:lpstr>Inv_MBS_Rating</vt:lpstr>
      <vt:lpstr>Inv_MBS_Segment</vt:lpstr>
      <vt:lpstr>MBS_Cons_Port</vt:lpstr>
      <vt:lpstr>PC_OTHER_UW</vt:lpstr>
      <vt:lpstr>PC_PT_UW</vt:lpstr>
      <vt:lpstr>PC_SC_UW</vt:lpstr>
      <vt:lpstr>PC_SF_UW</vt:lpstr>
      <vt:lpstr>PC_Specialty_UW</vt:lpstr>
      <vt:lpstr>PC_UW</vt:lpstr>
      <vt:lpstr>'Pg 18 Book Value'!Print_Area</vt:lpstr>
      <vt:lpstr>'Pg 5 Earnings Per Share'!Summary_of_Earnings</vt:lpstr>
      <vt:lpstr>Summary_of_Earnings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Nhung Vu</dc:creator>
  <cp:lastModifiedBy>Lehman, Andy</cp:lastModifiedBy>
  <cp:lastPrinted>2015-11-03T18:43:44Z</cp:lastPrinted>
  <dcterms:created xsi:type="dcterms:W3CDTF">2000-05-16T15:41:42Z</dcterms:created>
  <dcterms:modified xsi:type="dcterms:W3CDTF">2015-11-03T18:44:05Z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_NewReviewCycle">
    <vt:lpwstr/>
  </property>
</Properties>
</file>